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comments2.xml" ContentType="application/vnd.openxmlformats-officedocument.spreadsheetml.comments+xml"/>
  <Override PartName="/xl/drawings/drawing14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360" yWindow="300" windowWidth="14895" windowHeight="7875" firstSheet="11" activeTab="11"/>
  </bookViews>
  <sheets>
    <sheet name="january" sheetId="1" r:id="rId1"/>
    <sheet name="february" sheetId="2" r:id="rId2"/>
    <sheet name="march" sheetId="3" r:id="rId3"/>
    <sheet name="april" sheetId="4" r:id="rId4"/>
    <sheet name="may" sheetId="8" r:id="rId5"/>
    <sheet name="june" sheetId="10" r:id="rId6"/>
    <sheet name="july" sheetId="13" r:id="rId7"/>
    <sheet name="august" sheetId="14" r:id="rId8"/>
    <sheet name="september" sheetId="15" r:id="rId9"/>
    <sheet name="october " sheetId="16" r:id="rId10"/>
    <sheet name="november" sheetId="17" r:id="rId11"/>
    <sheet name="december" sheetId="18" r:id="rId12"/>
    <sheet name="as of december" sheetId="6" r:id="rId13"/>
    <sheet name="summary per cluster" sheetId="12" r:id="rId14"/>
    <sheet name="summary" sheetId="11" r:id="rId15"/>
    <sheet name="as of june-regular" sheetId="7" state="hidden" r:id="rId16"/>
    <sheet name="checklist" sheetId="21" r:id="rId17"/>
    <sheet name="summary per cluster-with NTCA" sheetId="22" state="hidden" r:id="rId18"/>
  </sheets>
  <externalReferences>
    <externalReference r:id="rId19"/>
  </externalReferences>
  <definedNames>
    <definedName name="_xlnm._FilterDatabase" localSheetId="3" hidden="1">april!$B$7:$U$140</definedName>
    <definedName name="_xlnm._FilterDatabase" localSheetId="12" hidden="1">'as of december'!$B$7:$U$140</definedName>
    <definedName name="_xlnm._FilterDatabase" localSheetId="15" hidden="1">'as of june-regular'!$B$7:$Q$140</definedName>
    <definedName name="_xlnm._FilterDatabase" localSheetId="7" hidden="1">august!$B$7:$U$140</definedName>
    <definedName name="_xlnm._FilterDatabase" localSheetId="16" hidden="1">checklist!$A$1:$I$105</definedName>
    <definedName name="_xlnm._FilterDatabase" localSheetId="11" hidden="1">december!$B$7:$U$140</definedName>
    <definedName name="_xlnm._FilterDatabase" localSheetId="1" hidden="1">february!$B$7:$U$140</definedName>
    <definedName name="_xlnm._FilterDatabase" localSheetId="0" hidden="1">january!$B$7:$U$144</definedName>
    <definedName name="_xlnm._FilterDatabase" localSheetId="6" hidden="1">july!$B$7:$U$140</definedName>
    <definedName name="_xlnm._FilterDatabase" localSheetId="5" hidden="1">june!$B$7:$U$140</definedName>
    <definedName name="_xlnm._FilterDatabase" localSheetId="2" hidden="1">march!$B$7:$U$140</definedName>
    <definedName name="_xlnm._FilterDatabase" localSheetId="4" hidden="1">may!$B$7:$U$140</definedName>
    <definedName name="_xlnm._FilterDatabase" localSheetId="10" hidden="1">november!$B$7:$U$140</definedName>
    <definedName name="_xlnm._FilterDatabase" localSheetId="9" hidden="1">'october '!$B$7:$U$140</definedName>
    <definedName name="_xlnm._FilterDatabase" localSheetId="8" hidden="1">september!$B$7:$U$140</definedName>
    <definedName name="_xlnm._FilterDatabase" localSheetId="14" hidden="1">summary!$B$7:$R$30</definedName>
    <definedName name="_xlnm._FilterDatabase" localSheetId="13" hidden="1">'summary per cluster'!$B$7:$R$202</definedName>
    <definedName name="_xlnm._FilterDatabase" localSheetId="17" hidden="1">'summary per cluster-with NTCA'!$B$7:$R$202</definedName>
    <definedName name="_xlnm.Print_Area" localSheetId="3">april!$B$1:$T$145</definedName>
    <definedName name="_xlnm.Print_Area" localSheetId="12">'as of december'!$B$1:$T$145</definedName>
    <definedName name="_xlnm.Print_Area" localSheetId="15">'as of june-regular'!$B$1:$P$145</definedName>
    <definedName name="_xlnm.Print_Area" localSheetId="7">august!$B$1:$T$145</definedName>
    <definedName name="_xlnm.Print_Area" localSheetId="16">checklist!$A$1:$B$109</definedName>
    <definedName name="_xlnm.Print_Area" localSheetId="11">december!$B$1:$T$145</definedName>
    <definedName name="_xlnm.Print_Area" localSheetId="1">february!$B$1:$T$145</definedName>
    <definedName name="_xlnm.Print_Area" localSheetId="0">january!$B$1:$T$149</definedName>
    <definedName name="_xlnm.Print_Area" localSheetId="6">july!$B$1:$T$145</definedName>
    <definedName name="_xlnm.Print_Area" localSheetId="5">june!$B$1:$T$145</definedName>
    <definedName name="_xlnm.Print_Area" localSheetId="2">march!$B$1:$T$145</definedName>
    <definedName name="_xlnm.Print_Area" localSheetId="4">may!$B$1:$T$145</definedName>
    <definedName name="_xlnm.Print_Area" localSheetId="10">november!$B$1:$T$145</definedName>
    <definedName name="_xlnm.Print_Area" localSheetId="9">'october '!$B$1:$T$145</definedName>
    <definedName name="_xlnm.Print_Area" localSheetId="8">september!$B$1:$T$145</definedName>
    <definedName name="_xlnm.Print_Area" localSheetId="14">summary!$A$1:$R$35</definedName>
    <definedName name="_xlnm.Print_Area" localSheetId="13">'summary per cluster'!$A$1:$R$207</definedName>
    <definedName name="_xlnm.Print_Area" localSheetId="17">'summary per cluster-with NTCA'!$A$1:$R$207</definedName>
    <definedName name="_xlnm.Print_Titles" localSheetId="3">april!$5:$6</definedName>
    <definedName name="_xlnm.Print_Titles" localSheetId="12">'as of december'!$5:$6</definedName>
    <definedName name="_xlnm.Print_Titles" localSheetId="15">'as of june-regular'!$5:$6</definedName>
    <definedName name="_xlnm.Print_Titles" localSheetId="7">august!$A$5:$IV$6</definedName>
    <definedName name="_xlnm.Print_Titles" localSheetId="16">checklist!$2:$2</definedName>
    <definedName name="_xlnm.Print_Titles" localSheetId="11">december!$A$5:$IV$6</definedName>
    <definedName name="_xlnm.Print_Titles" localSheetId="1">february!$5:$6</definedName>
    <definedName name="_xlnm.Print_Titles" localSheetId="0">january!$5:$6</definedName>
    <definedName name="_xlnm.Print_Titles" localSheetId="6">july!$A$5:$IV$6</definedName>
    <definedName name="_xlnm.Print_Titles" localSheetId="5">june!$A$5:$IV$6</definedName>
    <definedName name="_xlnm.Print_Titles" localSheetId="2">march!$5:$6</definedName>
    <definedName name="_xlnm.Print_Titles" localSheetId="4">may!$A$5:$IV$6</definedName>
    <definedName name="_xlnm.Print_Titles" localSheetId="10">november!$A$5:$IV$6</definedName>
    <definedName name="_xlnm.Print_Titles" localSheetId="9">'october '!$A$5:$IV$6</definedName>
    <definedName name="_xlnm.Print_Titles" localSheetId="8">september!$A$5:$IV$6</definedName>
    <definedName name="_xlnm.Print_Titles" localSheetId="14">summary!$5:$6</definedName>
    <definedName name="_xlnm.Print_Titles" localSheetId="13">'summary per cluster'!$1:$6</definedName>
    <definedName name="_xlnm.Print_Titles" localSheetId="17">'summary per cluster-with NTCA'!$1:$6</definedName>
  </definedNames>
  <calcPr calcId="124519"/>
</workbook>
</file>

<file path=xl/calcChain.xml><?xml version="1.0" encoding="utf-8"?>
<calcChain xmlns="http://schemas.openxmlformats.org/spreadsheetml/2006/main">
  <c r="G24" i="18"/>
  <c r="F24"/>
  <c r="G44"/>
  <c r="F44"/>
  <c r="K146" l="1"/>
  <c r="G77"/>
  <c r="F77"/>
  <c r="G25" l="1"/>
  <c r="N8"/>
  <c r="G8"/>
  <c r="F8"/>
  <c r="N42"/>
  <c r="F35"/>
  <c r="J36" l="1"/>
  <c r="K65" l="1"/>
  <c r="K29" l="1"/>
  <c r="J29" i="17" l="1"/>
  <c r="K62" i="18" l="1"/>
  <c r="F40" l="1"/>
  <c r="N8" i="17"/>
  <c r="F8"/>
  <c r="F35"/>
  <c r="G44" l="1"/>
  <c r="S99" i="16" l="1"/>
  <c r="O45" i="17" l="1"/>
  <c r="N45"/>
  <c r="K63" i="15"/>
  <c r="J63"/>
  <c r="N201" i="22"/>
  <c r="J201"/>
  <c r="F201"/>
  <c r="N200"/>
  <c r="L186"/>
  <c r="K186"/>
  <c r="H186"/>
  <c r="G186"/>
  <c r="I186" s="1"/>
  <c r="D186"/>
  <c r="P186" s="1"/>
  <c r="C186"/>
  <c r="O186" s="1"/>
  <c r="L185"/>
  <c r="K185"/>
  <c r="M185" s="1"/>
  <c r="H185"/>
  <c r="G185"/>
  <c r="I185" s="1"/>
  <c r="D185"/>
  <c r="C185"/>
  <c r="L184"/>
  <c r="K184"/>
  <c r="M184" s="1"/>
  <c r="H184"/>
  <c r="G184"/>
  <c r="I184" s="1"/>
  <c r="D184"/>
  <c r="P184" s="1"/>
  <c r="C184"/>
  <c r="O184" s="1"/>
  <c r="L183"/>
  <c r="K183"/>
  <c r="M183" s="1"/>
  <c r="H183"/>
  <c r="G183"/>
  <c r="I183" s="1"/>
  <c r="D183"/>
  <c r="P183" s="1"/>
  <c r="C183"/>
  <c r="E183" s="1"/>
  <c r="L179"/>
  <c r="K179"/>
  <c r="H179"/>
  <c r="G179"/>
  <c r="D179"/>
  <c r="P179" s="1"/>
  <c r="C179"/>
  <c r="O179" s="1"/>
  <c r="L178"/>
  <c r="K178"/>
  <c r="H178"/>
  <c r="G178"/>
  <c r="I178" s="1"/>
  <c r="D178"/>
  <c r="C178"/>
  <c r="L174"/>
  <c r="K174"/>
  <c r="M174" s="1"/>
  <c r="H174"/>
  <c r="G174"/>
  <c r="I174" s="1"/>
  <c r="D174"/>
  <c r="C174"/>
  <c r="L173"/>
  <c r="K173"/>
  <c r="H173"/>
  <c r="G173"/>
  <c r="D173"/>
  <c r="C173"/>
  <c r="L172"/>
  <c r="K172"/>
  <c r="M172" s="1"/>
  <c r="H172"/>
  <c r="G172"/>
  <c r="D172"/>
  <c r="C172"/>
  <c r="O172" s="1"/>
  <c r="L171"/>
  <c r="K171"/>
  <c r="M171" s="1"/>
  <c r="H171"/>
  <c r="G171"/>
  <c r="I171" s="1"/>
  <c r="D171"/>
  <c r="P171" s="1"/>
  <c r="C171"/>
  <c r="O171" s="1"/>
  <c r="Q171" s="1"/>
  <c r="L167"/>
  <c r="K167"/>
  <c r="H167"/>
  <c r="G167"/>
  <c r="D167"/>
  <c r="P167" s="1"/>
  <c r="C167"/>
  <c r="O167" s="1"/>
  <c r="L166"/>
  <c r="K166"/>
  <c r="H166"/>
  <c r="G166"/>
  <c r="I166" s="1"/>
  <c r="D166"/>
  <c r="C166"/>
  <c r="L162"/>
  <c r="L198" s="1"/>
  <c r="K162"/>
  <c r="K198" s="1"/>
  <c r="H162"/>
  <c r="H198" s="1"/>
  <c r="G162"/>
  <c r="G198" s="1"/>
  <c r="I198" s="1"/>
  <c r="D162"/>
  <c r="D198" s="1"/>
  <c r="P198" s="1"/>
  <c r="C162"/>
  <c r="L161"/>
  <c r="L197" s="1"/>
  <c r="K161"/>
  <c r="K197" s="1"/>
  <c r="H161"/>
  <c r="H197" s="1"/>
  <c r="G161"/>
  <c r="G197" s="1"/>
  <c r="I197" s="1"/>
  <c r="D161"/>
  <c r="C161"/>
  <c r="L160"/>
  <c r="L196" s="1"/>
  <c r="K160"/>
  <c r="K196" s="1"/>
  <c r="H160"/>
  <c r="H196" s="1"/>
  <c r="G160"/>
  <c r="G196" s="1"/>
  <c r="D160"/>
  <c r="D196" s="1"/>
  <c r="C160"/>
  <c r="L159"/>
  <c r="L195" s="1"/>
  <c r="K159"/>
  <c r="K195" s="1"/>
  <c r="H159"/>
  <c r="H195" s="1"/>
  <c r="G159"/>
  <c r="G195" s="1"/>
  <c r="D159"/>
  <c r="C159"/>
  <c r="C195" s="1"/>
  <c r="L158"/>
  <c r="K158"/>
  <c r="H158"/>
  <c r="L157"/>
  <c r="K157"/>
  <c r="H157"/>
  <c r="L156"/>
  <c r="H156"/>
  <c r="G156"/>
  <c r="L155"/>
  <c r="K155"/>
  <c r="H155"/>
  <c r="G155"/>
  <c r="D155"/>
  <c r="C155"/>
  <c r="O155" s="1"/>
  <c r="L154"/>
  <c r="L190" s="1"/>
  <c r="K154"/>
  <c r="H154"/>
  <c r="G154"/>
  <c r="G190" s="1"/>
  <c r="D154"/>
  <c r="D190" s="1"/>
  <c r="C154"/>
  <c r="L138"/>
  <c r="K138"/>
  <c r="M138" s="1"/>
  <c r="H138"/>
  <c r="G138"/>
  <c r="I138" s="1"/>
  <c r="D138"/>
  <c r="P138" s="1"/>
  <c r="C138"/>
  <c r="E138" s="1"/>
  <c r="L137"/>
  <c r="K137"/>
  <c r="M137" s="1"/>
  <c r="H137"/>
  <c r="G137"/>
  <c r="I137" s="1"/>
  <c r="D137"/>
  <c r="P137" s="1"/>
  <c r="C137"/>
  <c r="O137" s="1"/>
  <c r="Q137" s="1"/>
  <c r="L136"/>
  <c r="K136"/>
  <c r="M136" s="1"/>
  <c r="H136"/>
  <c r="G136"/>
  <c r="I136" s="1"/>
  <c r="D136"/>
  <c r="P136" s="1"/>
  <c r="C136"/>
  <c r="E136" s="1"/>
  <c r="L135"/>
  <c r="K135"/>
  <c r="M135" s="1"/>
  <c r="H135"/>
  <c r="G135"/>
  <c r="I135" s="1"/>
  <c r="D135"/>
  <c r="P135" s="1"/>
  <c r="C135"/>
  <c r="O135" s="1"/>
  <c r="Q135" s="1"/>
  <c r="L134"/>
  <c r="K134"/>
  <c r="M134" s="1"/>
  <c r="L133"/>
  <c r="K133"/>
  <c r="M133" s="1"/>
  <c r="H133"/>
  <c r="D133"/>
  <c r="P133" s="1"/>
  <c r="C133"/>
  <c r="L132"/>
  <c r="K132"/>
  <c r="L131"/>
  <c r="K131"/>
  <c r="M131" s="1"/>
  <c r="H131"/>
  <c r="G131"/>
  <c r="I131" s="1"/>
  <c r="D131"/>
  <c r="P131" s="1"/>
  <c r="C131"/>
  <c r="O131" s="1"/>
  <c r="Q131" s="1"/>
  <c r="L130"/>
  <c r="L139" s="1"/>
  <c r="K130"/>
  <c r="M130" s="1"/>
  <c r="H130"/>
  <c r="G130"/>
  <c r="D130"/>
  <c r="C130"/>
  <c r="E130" s="1"/>
  <c r="L126"/>
  <c r="K126"/>
  <c r="M126" s="1"/>
  <c r="H126"/>
  <c r="G126"/>
  <c r="I126" s="1"/>
  <c r="D126"/>
  <c r="P126" s="1"/>
  <c r="C126"/>
  <c r="E126" s="1"/>
  <c r="L125"/>
  <c r="K125"/>
  <c r="M125" s="1"/>
  <c r="H125"/>
  <c r="G125"/>
  <c r="I125" s="1"/>
  <c r="D125"/>
  <c r="P125" s="1"/>
  <c r="C125"/>
  <c r="O125" s="1"/>
  <c r="Q125" s="1"/>
  <c r="L124"/>
  <c r="K124"/>
  <c r="M124" s="1"/>
  <c r="H124"/>
  <c r="G124"/>
  <c r="I124" s="1"/>
  <c r="D124"/>
  <c r="P124" s="1"/>
  <c r="C124"/>
  <c r="E124" s="1"/>
  <c r="L123"/>
  <c r="K123"/>
  <c r="M123" s="1"/>
  <c r="H123"/>
  <c r="G123"/>
  <c r="I123" s="1"/>
  <c r="D123"/>
  <c r="P123" s="1"/>
  <c r="C123"/>
  <c r="O123" s="1"/>
  <c r="Q123" s="1"/>
  <c r="L122"/>
  <c r="K122"/>
  <c r="M122" s="1"/>
  <c r="H122"/>
  <c r="G122"/>
  <c r="I122" s="1"/>
  <c r="D122"/>
  <c r="P122" s="1"/>
  <c r="C122"/>
  <c r="E122" s="1"/>
  <c r="L121"/>
  <c r="K121"/>
  <c r="M121" s="1"/>
  <c r="H121"/>
  <c r="G121"/>
  <c r="I121" s="1"/>
  <c r="D121"/>
  <c r="P121" s="1"/>
  <c r="C121"/>
  <c r="O121" s="1"/>
  <c r="Q121" s="1"/>
  <c r="L120"/>
  <c r="K120"/>
  <c r="M120" s="1"/>
  <c r="H120"/>
  <c r="G120"/>
  <c r="I120" s="1"/>
  <c r="D120"/>
  <c r="P120" s="1"/>
  <c r="C120"/>
  <c r="E120" s="1"/>
  <c r="L119"/>
  <c r="K119"/>
  <c r="M119" s="1"/>
  <c r="H119"/>
  <c r="G119"/>
  <c r="I119" s="1"/>
  <c r="D119"/>
  <c r="P119" s="1"/>
  <c r="C119"/>
  <c r="O119" s="1"/>
  <c r="Q119" s="1"/>
  <c r="L118"/>
  <c r="L127" s="1"/>
  <c r="K118"/>
  <c r="M118" s="1"/>
  <c r="H118"/>
  <c r="H127" s="1"/>
  <c r="G118"/>
  <c r="G127" s="1"/>
  <c r="I127" s="1"/>
  <c r="D118"/>
  <c r="D127" s="1"/>
  <c r="P127" s="1"/>
  <c r="C118"/>
  <c r="E118" s="1"/>
  <c r="L114"/>
  <c r="L150" s="1"/>
  <c r="K114"/>
  <c r="K150" s="1"/>
  <c r="M150" s="1"/>
  <c r="H114"/>
  <c r="H150" s="1"/>
  <c r="G114"/>
  <c r="G150" s="1"/>
  <c r="D114"/>
  <c r="D150" s="1"/>
  <c r="P150" s="1"/>
  <c r="C114"/>
  <c r="E114" s="1"/>
  <c r="L113"/>
  <c r="L149" s="1"/>
  <c r="K113"/>
  <c r="K149" s="1"/>
  <c r="H113"/>
  <c r="H149" s="1"/>
  <c r="G113"/>
  <c r="G149" s="1"/>
  <c r="I149" s="1"/>
  <c r="D113"/>
  <c r="D149" s="1"/>
  <c r="P149" s="1"/>
  <c r="C113"/>
  <c r="C149" s="1"/>
  <c r="L112"/>
  <c r="L148" s="1"/>
  <c r="K112"/>
  <c r="M112" s="1"/>
  <c r="H112"/>
  <c r="H148" s="1"/>
  <c r="G112"/>
  <c r="G148" s="1"/>
  <c r="D112"/>
  <c r="D148" s="1"/>
  <c r="P148" s="1"/>
  <c r="C112"/>
  <c r="C148" s="1"/>
  <c r="L111"/>
  <c r="L147" s="1"/>
  <c r="K111"/>
  <c r="K147" s="1"/>
  <c r="H111"/>
  <c r="H147" s="1"/>
  <c r="G111"/>
  <c r="I111" s="1"/>
  <c r="D111"/>
  <c r="D147" s="1"/>
  <c r="P147" s="1"/>
  <c r="C111"/>
  <c r="C147" s="1"/>
  <c r="L110"/>
  <c r="L146" s="1"/>
  <c r="K110"/>
  <c r="K146" s="1"/>
  <c r="M146" s="1"/>
  <c r="H110"/>
  <c r="G110"/>
  <c r="D110"/>
  <c r="C110"/>
  <c r="E110" s="1"/>
  <c r="L109"/>
  <c r="L145" s="1"/>
  <c r="K109"/>
  <c r="K145" s="1"/>
  <c r="H109"/>
  <c r="H145" s="1"/>
  <c r="G109"/>
  <c r="D109"/>
  <c r="D145" s="1"/>
  <c r="P145" s="1"/>
  <c r="C109"/>
  <c r="C145" s="1"/>
  <c r="L108"/>
  <c r="L144" s="1"/>
  <c r="K108"/>
  <c r="M108" s="1"/>
  <c r="H108"/>
  <c r="G108"/>
  <c r="D108"/>
  <c r="C108"/>
  <c r="L107"/>
  <c r="L143" s="1"/>
  <c r="K107"/>
  <c r="K143" s="1"/>
  <c r="H107"/>
  <c r="H143" s="1"/>
  <c r="G107"/>
  <c r="I107" s="1"/>
  <c r="D107"/>
  <c r="D143" s="1"/>
  <c r="P143" s="1"/>
  <c r="C107"/>
  <c r="C143" s="1"/>
  <c r="L106"/>
  <c r="L142" s="1"/>
  <c r="L151" s="1"/>
  <c r="K106"/>
  <c r="K142" s="1"/>
  <c r="H106"/>
  <c r="H142" s="1"/>
  <c r="G106"/>
  <c r="G142" s="1"/>
  <c r="D106"/>
  <c r="D142" s="1"/>
  <c r="C106"/>
  <c r="E106" s="1"/>
  <c r="L90"/>
  <c r="K90"/>
  <c r="M90" s="1"/>
  <c r="H90"/>
  <c r="G90"/>
  <c r="I90" s="1"/>
  <c r="D90"/>
  <c r="C90"/>
  <c r="E90" s="1"/>
  <c r="L89"/>
  <c r="K89"/>
  <c r="M89" s="1"/>
  <c r="H89"/>
  <c r="G89"/>
  <c r="D89"/>
  <c r="P89" s="1"/>
  <c r="C89"/>
  <c r="E89" s="1"/>
  <c r="L88"/>
  <c r="K88"/>
  <c r="M88" s="1"/>
  <c r="H88"/>
  <c r="G88"/>
  <c r="I88" s="1"/>
  <c r="D88"/>
  <c r="C88"/>
  <c r="E88" s="1"/>
  <c r="L87"/>
  <c r="K87"/>
  <c r="H87"/>
  <c r="G87"/>
  <c r="D87"/>
  <c r="P87" s="1"/>
  <c r="C87"/>
  <c r="L86"/>
  <c r="K86"/>
  <c r="H86"/>
  <c r="G86"/>
  <c r="D86"/>
  <c r="C86"/>
  <c r="O86" s="1"/>
  <c r="L85"/>
  <c r="K85"/>
  <c r="H85"/>
  <c r="G85"/>
  <c r="D85"/>
  <c r="P85" s="1"/>
  <c r="C85"/>
  <c r="L84"/>
  <c r="K84"/>
  <c r="H84"/>
  <c r="G84"/>
  <c r="D84"/>
  <c r="C84"/>
  <c r="O84" s="1"/>
  <c r="L83"/>
  <c r="K83"/>
  <c r="H83"/>
  <c r="G83"/>
  <c r="D83"/>
  <c r="P83" s="1"/>
  <c r="C83"/>
  <c r="L82"/>
  <c r="L91" s="1"/>
  <c r="K82"/>
  <c r="H82"/>
  <c r="H91" s="1"/>
  <c r="G82"/>
  <c r="D82"/>
  <c r="D91" s="1"/>
  <c r="P91" s="1"/>
  <c r="C82"/>
  <c r="L78"/>
  <c r="K78"/>
  <c r="H78"/>
  <c r="G78"/>
  <c r="D78"/>
  <c r="C78"/>
  <c r="O78" s="1"/>
  <c r="L77"/>
  <c r="K77"/>
  <c r="H77"/>
  <c r="G77"/>
  <c r="D77"/>
  <c r="P77" s="1"/>
  <c r="C77"/>
  <c r="L76"/>
  <c r="K76"/>
  <c r="H76"/>
  <c r="G76"/>
  <c r="D76"/>
  <c r="C76"/>
  <c r="O76" s="1"/>
  <c r="L75"/>
  <c r="K75"/>
  <c r="H75"/>
  <c r="G75"/>
  <c r="D75"/>
  <c r="P75" s="1"/>
  <c r="C75"/>
  <c r="L74"/>
  <c r="K74"/>
  <c r="H74"/>
  <c r="G74"/>
  <c r="D74"/>
  <c r="C74"/>
  <c r="O74" s="1"/>
  <c r="L73"/>
  <c r="K73"/>
  <c r="H73"/>
  <c r="G73"/>
  <c r="D73"/>
  <c r="P73" s="1"/>
  <c r="C73"/>
  <c r="L72"/>
  <c r="K72"/>
  <c r="H72"/>
  <c r="G72"/>
  <c r="D72"/>
  <c r="C72"/>
  <c r="O72" s="1"/>
  <c r="L71"/>
  <c r="K71"/>
  <c r="H71"/>
  <c r="G71"/>
  <c r="D71"/>
  <c r="P71" s="1"/>
  <c r="C71"/>
  <c r="L70"/>
  <c r="K70"/>
  <c r="K79" s="1"/>
  <c r="H70"/>
  <c r="H79" s="1"/>
  <c r="G70"/>
  <c r="D70"/>
  <c r="C70"/>
  <c r="C79" s="1"/>
  <c r="L66"/>
  <c r="L102" s="1"/>
  <c r="K66"/>
  <c r="K102" s="1"/>
  <c r="H66"/>
  <c r="H102" s="1"/>
  <c r="G66"/>
  <c r="G102" s="1"/>
  <c r="D66"/>
  <c r="D102" s="1"/>
  <c r="C66"/>
  <c r="C102" s="1"/>
  <c r="L65"/>
  <c r="L101" s="1"/>
  <c r="K65"/>
  <c r="K101" s="1"/>
  <c r="H65"/>
  <c r="H101" s="1"/>
  <c r="G65"/>
  <c r="G101" s="1"/>
  <c r="D65"/>
  <c r="D101" s="1"/>
  <c r="P101" s="1"/>
  <c r="C65"/>
  <c r="C101" s="1"/>
  <c r="L64"/>
  <c r="L100" s="1"/>
  <c r="K64"/>
  <c r="K100" s="1"/>
  <c r="H64"/>
  <c r="H100" s="1"/>
  <c r="G64"/>
  <c r="G100" s="1"/>
  <c r="D64"/>
  <c r="D100" s="1"/>
  <c r="C64"/>
  <c r="C100" s="1"/>
  <c r="L63"/>
  <c r="L99" s="1"/>
  <c r="K63"/>
  <c r="K99" s="1"/>
  <c r="H63"/>
  <c r="H99" s="1"/>
  <c r="G63"/>
  <c r="G99" s="1"/>
  <c r="D63"/>
  <c r="D99" s="1"/>
  <c r="P99" s="1"/>
  <c r="C63"/>
  <c r="C99" s="1"/>
  <c r="L62"/>
  <c r="L98" s="1"/>
  <c r="K62"/>
  <c r="K98" s="1"/>
  <c r="H62"/>
  <c r="H98" s="1"/>
  <c r="G62"/>
  <c r="G98" s="1"/>
  <c r="D62"/>
  <c r="D98" s="1"/>
  <c r="C62"/>
  <c r="C98" s="1"/>
  <c r="L61"/>
  <c r="L97" s="1"/>
  <c r="K61"/>
  <c r="K97" s="1"/>
  <c r="H61"/>
  <c r="H97" s="1"/>
  <c r="G61"/>
  <c r="G97" s="1"/>
  <c r="D61"/>
  <c r="D97" s="1"/>
  <c r="P97" s="1"/>
  <c r="C61"/>
  <c r="C97" s="1"/>
  <c r="L60"/>
  <c r="L96" s="1"/>
  <c r="K60"/>
  <c r="K96" s="1"/>
  <c r="H60"/>
  <c r="H96" s="1"/>
  <c r="G60"/>
  <c r="G96" s="1"/>
  <c r="D60"/>
  <c r="D96" s="1"/>
  <c r="P96" s="1"/>
  <c r="C60"/>
  <c r="C96" s="1"/>
  <c r="L59"/>
  <c r="L95" s="1"/>
  <c r="K59"/>
  <c r="K95" s="1"/>
  <c r="H59"/>
  <c r="H95" s="1"/>
  <c r="G59"/>
  <c r="G95" s="1"/>
  <c r="D59"/>
  <c r="D95" s="1"/>
  <c r="P95" s="1"/>
  <c r="C59"/>
  <c r="C95" s="1"/>
  <c r="L58"/>
  <c r="L94" s="1"/>
  <c r="L103" s="1"/>
  <c r="K58"/>
  <c r="K94" s="1"/>
  <c r="H58"/>
  <c r="H94" s="1"/>
  <c r="G58"/>
  <c r="G94" s="1"/>
  <c r="D58"/>
  <c r="D94" s="1"/>
  <c r="C58"/>
  <c r="C94" s="1"/>
  <c r="L42"/>
  <c r="K42"/>
  <c r="H42"/>
  <c r="G42"/>
  <c r="D42"/>
  <c r="C42"/>
  <c r="O42" s="1"/>
  <c r="L41"/>
  <c r="K41"/>
  <c r="H41"/>
  <c r="G41"/>
  <c r="D41"/>
  <c r="P41" s="1"/>
  <c r="C41"/>
  <c r="E41" s="1"/>
  <c r="L40"/>
  <c r="K40"/>
  <c r="M40" s="1"/>
  <c r="H40"/>
  <c r="G40"/>
  <c r="I40" s="1"/>
  <c r="D40"/>
  <c r="C40"/>
  <c r="O40" s="1"/>
  <c r="L39"/>
  <c r="K39"/>
  <c r="M39" s="1"/>
  <c r="H39"/>
  <c r="G39"/>
  <c r="D39"/>
  <c r="P39" s="1"/>
  <c r="C39"/>
  <c r="E39" s="1"/>
  <c r="L38"/>
  <c r="K38"/>
  <c r="M38" s="1"/>
  <c r="H38"/>
  <c r="G38"/>
  <c r="I38" s="1"/>
  <c r="D38"/>
  <c r="C38"/>
  <c r="O38" s="1"/>
  <c r="L37"/>
  <c r="K37"/>
  <c r="M37" s="1"/>
  <c r="H37"/>
  <c r="G37"/>
  <c r="D37"/>
  <c r="P37" s="1"/>
  <c r="C37"/>
  <c r="E37" s="1"/>
  <c r="L36"/>
  <c r="K36"/>
  <c r="M36" s="1"/>
  <c r="H36"/>
  <c r="G36"/>
  <c r="I36" s="1"/>
  <c r="D36"/>
  <c r="C36"/>
  <c r="O36" s="1"/>
  <c r="L35"/>
  <c r="K35"/>
  <c r="M35" s="1"/>
  <c r="H35"/>
  <c r="G35"/>
  <c r="D35"/>
  <c r="C35"/>
  <c r="L34"/>
  <c r="K34"/>
  <c r="K43" s="1"/>
  <c r="H34"/>
  <c r="H43" s="1"/>
  <c r="G34"/>
  <c r="I34" s="1"/>
  <c r="D34"/>
  <c r="C34"/>
  <c r="L30"/>
  <c r="K30"/>
  <c r="M30" s="1"/>
  <c r="H30"/>
  <c r="G30"/>
  <c r="I30" s="1"/>
  <c r="D30"/>
  <c r="C30"/>
  <c r="L29"/>
  <c r="K29"/>
  <c r="H29"/>
  <c r="G29"/>
  <c r="D29"/>
  <c r="C29"/>
  <c r="E29" s="1"/>
  <c r="L28"/>
  <c r="K28"/>
  <c r="M28" s="1"/>
  <c r="H28"/>
  <c r="G28"/>
  <c r="D28"/>
  <c r="C28"/>
  <c r="O28" s="1"/>
  <c r="L27"/>
  <c r="K27"/>
  <c r="H27"/>
  <c r="G27"/>
  <c r="D27"/>
  <c r="P27" s="1"/>
  <c r="C27"/>
  <c r="O27" s="1"/>
  <c r="Q27" s="1"/>
  <c r="L26"/>
  <c r="K26"/>
  <c r="H26"/>
  <c r="G26"/>
  <c r="I26" s="1"/>
  <c r="D26"/>
  <c r="C26"/>
  <c r="L25"/>
  <c r="K25"/>
  <c r="H25"/>
  <c r="G25"/>
  <c r="D25"/>
  <c r="C25"/>
  <c r="L24"/>
  <c r="K24"/>
  <c r="M24" s="1"/>
  <c r="H24"/>
  <c r="G24"/>
  <c r="D24"/>
  <c r="C24"/>
  <c r="O24" s="1"/>
  <c r="L23"/>
  <c r="K23"/>
  <c r="M23" s="1"/>
  <c r="H23"/>
  <c r="G23"/>
  <c r="I23" s="1"/>
  <c r="D23"/>
  <c r="P23" s="1"/>
  <c r="C23"/>
  <c r="O23" s="1"/>
  <c r="Q23" s="1"/>
  <c r="L22"/>
  <c r="K22"/>
  <c r="K31" s="1"/>
  <c r="H22"/>
  <c r="G22"/>
  <c r="I22" s="1"/>
  <c r="D22"/>
  <c r="C22"/>
  <c r="L18"/>
  <c r="L54" s="1"/>
  <c r="K18"/>
  <c r="K54" s="1"/>
  <c r="M54" s="1"/>
  <c r="H18"/>
  <c r="H54" s="1"/>
  <c r="G18"/>
  <c r="G54" s="1"/>
  <c r="I54" s="1"/>
  <c r="D18"/>
  <c r="D54" s="1"/>
  <c r="P54" s="1"/>
  <c r="C18"/>
  <c r="L17"/>
  <c r="L53" s="1"/>
  <c r="K17"/>
  <c r="K53" s="1"/>
  <c r="H17"/>
  <c r="H53" s="1"/>
  <c r="G17"/>
  <c r="G53" s="1"/>
  <c r="I53" s="1"/>
  <c r="D17"/>
  <c r="C17"/>
  <c r="C53" s="1"/>
  <c r="L16"/>
  <c r="L52" s="1"/>
  <c r="K16"/>
  <c r="K52" s="1"/>
  <c r="H16"/>
  <c r="H52" s="1"/>
  <c r="G16"/>
  <c r="G52" s="1"/>
  <c r="D16"/>
  <c r="D52" s="1"/>
  <c r="C16"/>
  <c r="L15"/>
  <c r="L51" s="1"/>
  <c r="K15"/>
  <c r="K51" s="1"/>
  <c r="M51" s="1"/>
  <c r="H15"/>
  <c r="H51" s="1"/>
  <c r="G15"/>
  <c r="G51" s="1"/>
  <c r="D15"/>
  <c r="C15"/>
  <c r="C51" s="1"/>
  <c r="L14"/>
  <c r="L50" s="1"/>
  <c r="K14"/>
  <c r="K50" s="1"/>
  <c r="M50" s="1"/>
  <c r="H14"/>
  <c r="H50" s="1"/>
  <c r="G14"/>
  <c r="G50" s="1"/>
  <c r="I50" s="1"/>
  <c r="D14"/>
  <c r="D50" s="1"/>
  <c r="P50" s="1"/>
  <c r="C14"/>
  <c r="L13"/>
  <c r="L49" s="1"/>
  <c r="K13"/>
  <c r="K49" s="1"/>
  <c r="H13"/>
  <c r="H49" s="1"/>
  <c r="G13"/>
  <c r="G49" s="1"/>
  <c r="I49" s="1"/>
  <c r="D13"/>
  <c r="C13"/>
  <c r="C49" s="1"/>
  <c r="L12"/>
  <c r="L48" s="1"/>
  <c r="K12"/>
  <c r="K48" s="1"/>
  <c r="H12"/>
  <c r="H48" s="1"/>
  <c r="G12"/>
  <c r="G48" s="1"/>
  <c r="D12"/>
  <c r="D48" s="1"/>
  <c r="C12"/>
  <c r="L11"/>
  <c r="L47" s="1"/>
  <c r="K11"/>
  <c r="K47" s="1"/>
  <c r="M47" s="1"/>
  <c r="H11"/>
  <c r="H47" s="1"/>
  <c r="G11"/>
  <c r="G47" s="1"/>
  <c r="D11"/>
  <c r="C11"/>
  <c r="C47" s="1"/>
  <c r="L10"/>
  <c r="L46" s="1"/>
  <c r="K10"/>
  <c r="H10"/>
  <c r="G10"/>
  <c r="G46" s="1"/>
  <c r="D10"/>
  <c r="D46" s="1"/>
  <c r="C10"/>
  <c r="F8" i="16"/>
  <c r="G8"/>
  <c r="O15" i="22" l="1"/>
  <c r="R23"/>
  <c r="E25"/>
  <c r="O25"/>
  <c r="M26"/>
  <c r="I27"/>
  <c r="M27"/>
  <c r="P28"/>
  <c r="R28" s="1"/>
  <c r="P30"/>
  <c r="L43"/>
  <c r="P36"/>
  <c r="R36" s="1"/>
  <c r="P38"/>
  <c r="R38" s="1"/>
  <c r="P40"/>
  <c r="R40" s="1"/>
  <c r="P42"/>
  <c r="R42" s="1"/>
  <c r="L79"/>
  <c r="P72"/>
  <c r="R72" s="1"/>
  <c r="P74"/>
  <c r="R74" s="1"/>
  <c r="P76"/>
  <c r="R76" s="1"/>
  <c r="P78"/>
  <c r="R78" s="1"/>
  <c r="P84"/>
  <c r="R84" s="1"/>
  <c r="P86"/>
  <c r="R86" s="1"/>
  <c r="O89"/>
  <c r="M132"/>
  <c r="O159"/>
  <c r="O11"/>
  <c r="P24"/>
  <c r="R24" s="1"/>
  <c r="L31"/>
  <c r="P26"/>
  <c r="R27"/>
  <c r="O29"/>
  <c r="M43"/>
  <c r="O37"/>
  <c r="R37" s="1"/>
  <c r="O39"/>
  <c r="R39" s="1"/>
  <c r="O41"/>
  <c r="R41" s="1"/>
  <c r="M41"/>
  <c r="I42"/>
  <c r="M42"/>
  <c r="M95"/>
  <c r="I96"/>
  <c r="M96"/>
  <c r="I97"/>
  <c r="M98"/>
  <c r="I99"/>
  <c r="M100"/>
  <c r="I101"/>
  <c r="M102"/>
  <c r="I70"/>
  <c r="E71"/>
  <c r="G79"/>
  <c r="M71"/>
  <c r="I72"/>
  <c r="M72"/>
  <c r="E73"/>
  <c r="O73"/>
  <c r="R73" s="1"/>
  <c r="M73"/>
  <c r="I74"/>
  <c r="M74"/>
  <c r="E75"/>
  <c r="O75"/>
  <c r="R75" s="1"/>
  <c r="M75"/>
  <c r="I76"/>
  <c r="M76"/>
  <c r="E77"/>
  <c r="O77"/>
  <c r="R77" s="1"/>
  <c r="M77"/>
  <c r="I78"/>
  <c r="M78"/>
  <c r="C91"/>
  <c r="G91"/>
  <c r="K91"/>
  <c r="E83"/>
  <c r="O83"/>
  <c r="R83" s="1"/>
  <c r="M83"/>
  <c r="I84"/>
  <c r="M84"/>
  <c r="E85"/>
  <c r="O85"/>
  <c r="R85" s="1"/>
  <c r="M85"/>
  <c r="I86"/>
  <c r="M86"/>
  <c r="E87"/>
  <c r="I87"/>
  <c r="M87"/>
  <c r="O87"/>
  <c r="R87" s="1"/>
  <c r="P88"/>
  <c r="R89"/>
  <c r="P90"/>
  <c r="M186"/>
  <c r="R186"/>
  <c r="R184"/>
  <c r="P185"/>
  <c r="E185"/>
  <c r="I179"/>
  <c r="M179"/>
  <c r="Q179"/>
  <c r="R179"/>
  <c r="E173"/>
  <c r="C197"/>
  <c r="O173"/>
  <c r="M195"/>
  <c r="P174"/>
  <c r="P172"/>
  <c r="R172" s="1"/>
  <c r="R171"/>
  <c r="L191"/>
  <c r="M167"/>
  <c r="K191"/>
  <c r="M191" s="1"/>
  <c r="C191"/>
  <c r="H191"/>
  <c r="Q167"/>
  <c r="I167"/>
  <c r="G191"/>
  <c r="R167"/>
  <c r="M198"/>
  <c r="Q89"/>
  <c r="D200"/>
  <c r="G200"/>
  <c r="G55"/>
  <c r="K19"/>
  <c r="K46"/>
  <c r="P11"/>
  <c r="R11" s="1"/>
  <c r="D47"/>
  <c r="P47" s="1"/>
  <c r="O12"/>
  <c r="C48"/>
  <c r="O49"/>
  <c r="P15"/>
  <c r="R15" s="1"/>
  <c r="D51"/>
  <c r="P51" s="1"/>
  <c r="O16"/>
  <c r="C52"/>
  <c r="O53"/>
  <c r="P35"/>
  <c r="D43"/>
  <c r="P43" s="1"/>
  <c r="D103"/>
  <c r="P94"/>
  <c r="C19"/>
  <c r="O10"/>
  <c r="C46"/>
  <c r="H19"/>
  <c r="H46"/>
  <c r="L200"/>
  <c r="L55"/>
  <c r="E47"/>
  <c r="O47"/>
  <c r="Q47" s="1"/>
  <c r="P13"/>
  <c r="D49"/>
  <c r="P49" s="1"/>
  <c r="R49" s="1"/>
  <c r="O14"/>
  <c r="C50"/>
  <c r="E51"/>
  <c r="O51"/>
  <c r="Q51" s="1"/>
  <c r="P17"/>
  <c r="D53"/>
  <c r="P53" s="1"/>
  <c r="R53" s="1"/>
  <c r="O18"/>
  <c r="C54"/>
  <c r="C31"/>
  <c r="O22"/>
  <c r="C43"/>
  <c r="O34"/>
  <c r="G43"/>
  <c r="I43" s="1"/>
  <c r="O35"/>
  <c r="Q35" s="1"/>
  <c r="I35"/>
  <c r="C103"/>
  <c r="O94"/>
  <c r="Q94" s="1"/>
  <c r="E94"/>
  <c r="G103"/>
  <c r="I94"/>
  <c r="O95"/>
  <c r="Q95" s="1"/>
  <c r="E95"/>
  <c r="O79"/>
  <c r="O91"/>
  <c r="Q91" s="1"/>
  <c r="E91"/>
  <c r="M10"/>
  <c r="E12"/>
  <c r="P12"/>
  <c r="R12" s="1"/>
  <c r="I13"/>
  <c r="M14"/>
  <c r="E16"/>
  <c r="P16"/>
  <c r="R16" s="1"/>
  <c r="I17"/>
  <c r="M18"/>
  <c r="G19"/>
  <c r="I19" s="1"/>
  <c r="L19"/>
  <c r="M31"/>
  <c r="M22"/>
  <c r="Q24"/>
  <c r="E24"/>
  <c r="I25"/>
  <c r="Q28"/>
  <c r="E28"/>
  <c r="I29"/>
  <c r="G31"/>
  <c r="M34"/>
  <c r="R95"/>
  <c r="R91"/>
  <c r="E10"/>
  <c r="P10"/>
  <c r="R10" s="1"/>
  <c r="I47"/>
  <c r="I11"/>
  <c r="P48"/>
  <c r="I48"/>
  <c r="M48"/>
  <c r="M12"/>
  <c r="M49"/>
  <c r="O13"/>
  <c r="Q13" s="1"/>
  <c r="E14"/>
  <c r="P14"/>
  <c r="R14" s="1"/>
  <c r="I51"/>
  <c r="I15"/>
  <c r="P52"/>
  <c r="I52"/>
  <c r="M52"/>
  <c r="M16"/>
  <c r="M53"/>
  <c r="O17"/>
  <c r="Q17" s="1"/>
  <c r="E18"/>
  <c r="P18"/>
  <c r="R18" s="1"/>
  <c r="D19"/>
  <c r="P19" s="1"/>
  <c r="E22"/>
  <c r="H31"/>
  <c r="P22"/>
  <c r="R22" s="1"/>
  <c r="E23"/>
  <c r="I24"/>
  <c r="P25"/>
  <c r="R25" s="1"/>
  <c r="M25"/>
  <c r="O26"/>
  <c r="Q26" s="1"/>
  <c r="E26"/>
  <c r="E27"/>
  <c r="I28"/>
  <c r="P29"/>
  <c r="R29" s="1"/>
  <c r="M29"/>
  <c r="O30"/>
  <c r="Q30" s="1"/>
  <c r="E30"/>
  <c r="D31"/>
  <c r="P31" s="1"/>
  <c r="E34"/>
  <c r="P34"/>
  <c r="R34" s="1"/>
  <c r="E35"/>
  <c r="Q36"/>
  <c r="Q37"/>
  <c r="Q38"/>
  <c r="Q39"/>
  <c r="Q40"/>
  <c r="Q41"/>
  <c r="Q42"/>
  <c r="M79"/>
  <c r="I79"/>
  <c r="Q72"/>
  <c r="Q73"/>
  <c r="Q74"/>
  <c r="Q75"/>
  <c r="Q76"/>
  <c r="Q77"/>
  <c r="Q78"/>
  <c r="I91"/>
  <c r="M91"/>
  <c r="Q83"/>
  <c r="Q84"/>
  <c r="Q85"/>
  <c r="Q86"/>
  <c r="Q87"/>
  <c r="M94"/>
  <c r="K103"/>
  <c r="M103" s="1"/>
  <c r="E96"/>
  <c r="O96"/>
  <c r="Q96" s="1"/>
  <c r="E98"/>
  <c r="O98"/>
  <c r="E100"/>
  <c r="O100"/>
  <c r="E102"/>
  <c r="O102"/>
  <c r="O97"/>
  <c r="Q97" s="1"/>
  <c r="E97"/>
  <c r="O99"/>
  <c r="Q99" s="1"/>
  <c r="E99"/>
  <c r="O101"/>
  <c r="Q101" s="1"/>
  <c r="E101"/>
  <c r="M142"/>
  <c r="E148"/>
  <c r="E36"/>
  <c r="I37"/>
  <c r="E38"/>
  <c r="I39"/>
  <c r="E40"/>
  <c r="I41"/>
  <c r="E42"/>
  <c r="E58"/>
  <c r="H103"/>
  <c r="M58"/>
  <c r="P58"/>
  <c r="I95"/>
  <c r="I59"/>
  <c r="O59"/>
  <c r="E60"/>
  <c r="M60"/>
  <c r="P60"/>
  <c r="R97"/>
  <c r="I61"/>
  <c r="O61"/>
  <c r="E62"/>
  <c r="M62"/>
  <c r="P62"/>
  <c r="R99"/>
  <c r="I63"/>
  <c r="O63"/>
  <c r="E64"/>
  <c r="M64"/>
  <c r="P64"/>
  <c r="R101"/>
  <c r="I65"/>
  <c r="O65"/>
  <c r="E66"/>
  <c r="M66"/>
  <c r="P66"/>
  <c r="D67"/>
  <c r="G67"/>
  <c r="L67"/>
  <c r="E70"/>
  <c r="M70"/>
  <c r="P70"/>
  <c r="I71"/>
  <c r="O71"/>
  <c r="Q71" s="1"/>
  <c r="E72"/>
  <c r="I73"/>
  <c r="E74"/>
  <c r="I75"/>
  <c r="E76"/>
  <c r="I77"/>
  <c r="E78"/>
  <c r="D79"/>
  <c r="P79" s="1"/>
  <c r="R79" s="1"/>
  <c r="E82"/>
  <c r="M82"/>
  <c r="P82"/>
  <c r="I83"/>
  <c r="E84"/>
  <c r="I85"/>
  <c r="E86"/>
  <c r="I10"/>
  <c r="E11"/>
  <c r="M11"/>
  <c r="I12"/>
  <c r="E13"/>
  <c r="M13"/>
  <c r="I14"/>
  <c r="E15"/>
  <c r="M15"/>
  <c r="I16"/>
  <c r="E17"/>
  <c r="M17"/>
  <c r="I18"/>
  <c r="I58"/>
  <c r="O58"/>
  <c r="Q58" s="1"/>
  <c r="E59"/>
  <c r="M59"/>
  <c r="P59"/>
  <c r="R59" s="1"/>
  <c r="I60"/>
  <c r="O60"/>
  <c r="Q60" s="1"/>
  <c r="E61"/>
  <c r="M97"/>
  <c r="M61"/>
  <c r="P61"/>
  <c r="R61" s="1"/>
  <c r="P98"/>
  <c r="R98" s="1"/>
  <c r="I98"/>
  <c r="I62"/>
  <c r="O62"/>
  <c r="Q62" s="1"/>
  <c r="E63"/>
  <c r="M99"/>
  <c r="M63"/>
  <c r="P63"/>
  <c r="R63" s="1"/>
  <c r="P100"/>
  <c r="R100" s="1"/>
  <c r="I100"/>
  <c r="I64"/>
  <c r="O64"/>
  <c r="Q64" s="1"/>
  <c r="E65"/>
  <c r="M101"/>
  <c r="M65"/>
  <c r="P65"/>
  <c r="R65" s="1"/>
  <c r="P102"/>
  <c r="R102" s="1"/>
  <c r="I102"/>
  <c r="I66"/>
  <c r="O66"/>
  <c r="Q66" s="1"/>
  <c r="C67"/>
  <c r="H67"/>
  <c r="K67"/>
  <c r="M67" s="1"/>
  <c r="O70"/>
  <c r="Q70" s="1"/>
  <c r="I82"/>
  <c r="O82"/>
  <c r="Q82" s="1"/>
  <c r="O88"/>
  <c r="Q88" s="1"/>
  <c r="O90"/>
  <c r="Q90" s="1"/>
  <c r="I89"/>
  <c r="R119"/>
  <c r="R121"/>
  <c r="R123"/>
  <c r="R125"/>
  <c r="R131"/>
  <c r="R135"/>
  <c r="R137"/>
  <c r="K190"/>
  <c r="P155"/>
  <c r="R155" s="1"/>
  <c r="D191"/>
  <c r="P191" s="1"/>
  <c r="P159"/>
  <c r="R159" s="1"/>
  <c r="D195"/>
  <c r="P195" s="1"/>
  <c r="O160"/>
  <c r="C196"/>
  <c r="O197"/>
  <c r="I142"/>
  <c r="I106"/>
  <c r="O106"/>
  <c r="E143"/>
  <c r="E107"/>
  <c r="M143"/>
  <c r="M107"/>
  <c r="P107"/>
  <c r="I108"/>
  <c r="O108"/>
  <c r="E145"/>
  <c r="E109"/>
  <c r="M145"/>
  <c r="M109"/>
  <c r="P109"/>
  <c r="I110"/>
  <c r="O110"/>
  <c r="E147"/>
  <c r="E111"/>
  <c r="M147"/>
  <c r="M111"/>
  <c r="P111"/>
  <c r="I148"/>
  <c r="I112"/>
  <c r="O112"/>
  <c r="E149"/>
  <c r="E113"/>
  <c r="M149"/>
  <c r="M113"/>
  <c r="P113"/>
  <c r="I150"/>
  <c r="I114"/>
  <c r="O114"/>
  <c r="C115"/>
  <c r="H115"/>
  <c r="K115"/>
  <c r="I118"/>
  <c r="O118"/>
  <c r="E119"/>
  <c r="O120"/>
  <c r="Q120" s="1"/>
  <c r="E121"/>
  <c r="O122"/>
  <c r="Q122" s="1"/>
  <c r="E123"/>
  <c r="O124"/>
  <c r="Q124" s="1"/>
  <c r="E125"/>
  <c r="O126"/>
  <c r="Q126" s="1"/>
  <c r="C127"/>
  <c r="K127"/>
  <c r="M127" s="1"/>
  <c r="I130"/>
  <c r="O130"/>
  <c r="E131"/>
  <c r="E133"/>
  <c r="E135"/>
  <c r="O136"/>
  <c r="Q136" s="1"/>
  <c r="E137"/>
  <c r="O138"/>
  <c r="Q138" s="1"/>
  <c r="K139"/>
  <c r="M139" s="1"/>
  <c r="C142"/>
  <c r="G143"/>
  <c r="I143" s="1"/>
  <c r="K144"/>
  <c r="M144" s="1"/>
  <c r="G147"/>
  <c r="I147" s="1"/>
  <c r="K148"/>
  <c r="M148" s="1"/>
  <c r="O149"/>
  <c r="Q149" s="1"/>
  <c r="C150"/>
  <c r="M154"/>
  <c r="M158"/>
  <c r="E160"/>
  <c r="P160"/>
  <c r="R160" s="1"/>
  <c r="I161"/>
  <c r="M162"/>
  <c r="L163"/>
  <c r="M166"/>
  <c r="Q172"/>
  <c r="E172"/>
  <c r="I173"/>
  <c r="M178"/>
  <c r="O154"/>
  <c r="C190"/>
  <c r="H163"/>
  <c r="H190"/>
  <c r="O195"/>
  <c r="Q195" s="1"/>
  <c r="P161"/>
  <c r="D197"/>
  <c r="P197" s="1"/>
  <c r="R197" s="1"/>
  <c r="O162"/>
  <c r="C198"/>
  <c r="O166"/>
  <c r="O178"/>
  <c r="M106"/>
  <c r="P106"/>
  <c r="R106" s="1"/>
  <c r="O107"/>
  <c r="Q107" s="1"/>
  <c r="E108"/>
  <c r="P108"/>
  <c r="R108" s="1"/>
  <c r="I109"/>
  <c r="O109"/>
  <c r="Q109" s="1"/>
  <c r="M110"/>
  <c r="P110"/>
  <c r="R110" s="1"/>
  <c r="O111"/>
  <c r="Q111" s="1"/>
  <c r="E112"/>
  <c r="P112"/>
  <c r="R112" s="1"/>
  <c r="I113"/>
  <c r="O113"/>
  <c r="Q113" s="1"/>
  <c r="M114"/>
  <c r="P114"/>
  <c r="R114" s="1"/>
  <c r="D115"/>
  <c r="G115"/>
  <c r="I115" s="1"/>
  <c r="L115"/>
  <c r="P118"/>
  <c r="R118" s="1"/>
  <c r="P130"/>
  <c r="R130" s="1"/>
  <c r="P142"/>
  <c r="O143"/>
  <c r="Q143" s="1"/>
  <c r="O147"/>
  <c r="Q147" s="1"/>
  <c r="E154"/>
  <c r="P154"/>
  <c r="R154" s="1"/>
  <c r="I191"/>
  <c r="I155"/>
  <c r="I195"/>
  <c r="I159"/>
  <c r="P196"/>
  <c r="I196"/>
  <c r="M196"/>
  <c r="M160"/>
  <c r="M197"/>
  <c r="O161"/>
  <c r="Q161" s="1"/>
  <c r="E162"/>
  <c r="P162"/>
  <c r="R162" s="1"/>
  <c r="E166"/>
  <c r="P166"/>
  <c r="R166" s="1"/>
  <c r="E167"/>
  <c r="E171"/>
  <c r="I172"/>
  <c r="P173"/>
  <c r="R173" s="1"/>
  <c r="M173"/>
  <c r="O174"/>
  <c r="Q174" s="1"/>
  <c r="E174"/>
  <c r="E178"/>
  <c r="P178"/>
  <c r="E179"/>
  <c r="Q184"/>
  <c r="Q186"/>
  <c r="O183"/>
  <c r="Q183" s="1"/>
  <c r="E184"/>
  <c r="O185"/>
  <c r="Q185" s="1"/>
  <c r="E186"/>
  <c r="I154"/>
  <c r="E155"/>
  <c r="M155"/>
  <c r="I156"/>
  <c r="M157"/>
  <c r="E159"/>
  <c r="M159"/>
  <c r="I160"/>
  <c r="E161"/>
  <c r="M161"/>
  <c r="I162"/>
  <c r="G44" i="16"/>
  <c r="O191" i="22" l="1"/>
  <c r="R191" s="1"/>
  <c r="R178"/>
  <c r="Q191"/>
  <c r="E195"/>
  <c r="E191"/>
  <c r="O150"/>
  <c r="E150"/>
  <c r="O142"/>
  <c r="Q142" s="1"/>
  <c r="E142"/>
  <c r="O127"/>
  <c r="E127"/>
  <c r="E67"/>
  <c r="O67"/>
  <c r="E43"/>
  <c r="O43"/>
  <c r="Q43" s="1"/>
  <c r="E31"/>
  <c r="O31"/>
  <c r="Q31" s="1"/>
  <c r="O52"/>
  <c r="Q52" s="1"/>
  <c r="E52"/>
  <c r="O48"/>
  <c r="Q48" s="1"/>
  <c r="E48"/>
  <c r="K200"/>
  <c r="K55"/>
  <c r="M46"/>
  <c r="M200" s="1"/>
  <c r="P115"/>
  <c r="Q162"/>
  <c r="R161"/>
  <c r="Q154"/>
  <c r="R185"/>
  <c r="Q114"/>
  <c r="Q112"/>
  <c r="Q110"/>
  <c r="Q108"/>
  <c r="Q106"/>
  <c r="E197"/>
  <c r="Q160"/>
  <c r="I190"/>
  <c r="R138"/>
  <c r="R136"/>
  <c r="Q173"/>
  <c r="Q155"/>
  <c r="R70"/>
  <c r="I67"/>
  <c r="R66"/>
  <c r="R64"/>
  <c r="R62"/>
  <c r="R60"/>
  <c r="R58"/>
  <c r="O148"/>
  <c r="K151"/>
  <c r="M151" s="1"/>
  <c r="R88"/>
  <c r="R96"/>
  <c r="E79"/>
  <c r="I103"/>
  <c r="Q18"/>
  <c r="R17"/>
  <c r="Q14"/>
  <c r="R13"/>
  <c r="Q10"/>
  <c r="R94"/>
  <c r="R43"/>
  <c r="Q53"/>
  <c r="R51"/>
  <c r="Q49"/>
  <c r="R47"/>
  <c r="D55"/>
  <c r="R26"/>
  <c r="R30"/>
  <c r="Q15"/>
  <c r="O198"/>
  <c r="E198"/>
  <c r="O190"/>
  <c r="E190"/>
  <c r="O115"/>
  <c r="Q115" s="1"/>
  <c r="E115"/>
  <c r="O196"/>
  <c r="Q196" s="1"/>
  <c r="E196"/>
  <c r="M190"/>
  <c r="O103"/>
  <c r="E103"/>
  <c r="O54"/>
  <c r="E54"/>
  <c r="O50"/>
  <c r="E50"/>
  <c r="H200"/>
  <c r="H55"/>
  <c r="C200"/>
  <c r="O203" s="1"/>
  <c r="C55"/>
  <c r="O46"/>
  <c r="E46"/>
  <c r="E200" s="1"/>
  <c r="E19"/>
  <c r="O19"/>
  <c r="Q19" s="1"/>
  <c r="R142"/>
  <c r="Q178"/>
  <c r="Q166"/>
  <c r="R183"/>
  <c r="Q130"/>
  <c r="Q118"/>
  <c r="M115"/>
  <c r="R113"/>
  <c r="R111"/>
  <c r="R109"/>
  <c r="R107"/>
  <c r="Q197"/>
  <c r="R195"/>
  <c r="P190"/>
  <c r="R174"/>
  <c r="Q159"/>
  <c r="R126"/>
  <c r="R124"/>
  <c r="R122"/>
  <c r="R120"/>
  <c r="R149"/>
  <c r="R147"/>
  <c r="R143"/>
  <c r="R82"/>
  <c r="P67"/>
  <c r="R67" s="1"/>
  <c r="Q65"/>
  <c r="Q63"/>
  <c r="Q61"/>
  <c r="Q59"/>
  <c r="Q102"/>
  <c r="Q100"/>
  <c r="Q98"/>
  <c r="R90"/>
  <c r="R31"/>
  <c r="R19"/>
  <c r="R52"/>
  <c r="R48"/>
  <c r="R71"/>
  <c r="I31"/>
  <c r="Q79"/>
  <c r="Q34"/>
  <c r="Q22"/>
  <c r="P103"/>
  <c r="R103" s="1"/>
  <c r="R35"/>
  <c r="E53"/>
  <c r="Q16"/>
  <c r="E49"/>
  <c r="Q12"/>
  <c r="M19"/>
  <c r="I46"/>
  <c r="I200" s="1"/>
  <c r="P46"/>
  <c r="Q29"/>
  <c r="Q11"/>
  <c r="Q25"/>
  <c r="O45" i="16"/>
  <c r="N45"/>
  <c r="J36" i="15"/>
  <c r="F134"/>
  <c r="G35"/>
  <c r="F35"/>
  <c r="F130"/>
  <c r="R190" i="22" l="1"/>
  <c r="P200"/>
  <c r="R46"/>
  <c r="E55"/>
  <c r="O55"/>
  <c r="Q198"/>
  <c r="R198"/>
  <c r="P55"/>
  <c r="Q148"/>
  <c r="R148"/>
  <c r="M55"/>
  <c r="Q150"/>
  <c r="R150"/>
  <c r="Q67"/>
  <c r="O200"/>
  <c r="Q46"/>
  <c r="Q200" s="1"/>
  <c r="Q50"/>
  <c r="R50"/>
  <c r="Q54"/>
  <c r="R54"/>
  <c r="Q127"/>
  <c r="R127"/>
  <c r="Q103"/>
  <c r="Q190"/>
  <c r="R115"/>
  <c r="R196"/>
  <c r="I55"/>
  <c r="N8" i="14"/>
  <c r="F8" i="3"/>
  <c r="N8" i="15"/>
  <c r="F8"/>
  <c r="K57"/>
  <c r="G57"/>
  <c r="K25"/>
  <c r="G25"/>
  <c r="R55" i="22" l="1"/>
  <c r="Q55"/>
  <c r="R200"/>
  <c r="G80" i="15"/>
  <c r="J57"/>
  <c r="F57"/>
  <c r="G44" l="1"/>
  <c r="F80"/>
  <c r="F44" l="1"/>
  <c r="N45" l="1"/>
  <c r="G38"/>
  <c r="F38"/>
  <c r="J65"/>
  <c r="F31" l="1"/>
  <c r="K101" i="13" l="1"/>
  <c r="F55" i="15" l="1"/>
  <c r="H69" i="14" l="1"/>
  <c r="G8"/>
  <c r="F8"/>
  <c r="F35"/>
  <c r="G44"/>
  <c r="J36" i="13"/>
  <c r="N45" i="14" l="1"/>
  <c r="E107" i="21"/>
  <c r="E109" s="1"/>
  <c r="D107"/>
  <c r="D109" s="1"/>
  <c r="B107"/>
  <c r="B109" s="1"/>
  <c r="K129" i="13"/>
  <c r="G129"/>
  <c r="F8" l="1"/>
  <c r="G44"/>
  <c r="S141" i="18" l="1"/>
  <c r="R141"/>
  <c r="P141"/>
  <c r="L141"/>
  <c r="H141"/>
  <c r="S140"/>
  <c r="R140"/>
  <c r="P140"/>
  <c r="L140"/>
  <c r="H140"/>
  <c r="S141" i="17"/>
  <c r="R141"/>
  <c r="T141" s="1"/>
  <c r="P141"/>
  <c r="L141"/>
  <c r="H141"/>
  <c r="S140"/>
  <c r="R140"/>
  <c r="P140"/>
  <c r="L140"/>
  <c r="H140"/>
  <c r="S141" i="16"/>
  <c r="R141"/>
  <c r="P141"/>
  <c r="L141"/>
  <c r="H141"/>
  <c r="S140"/>
  <c r="R140"/>
  <c r="P140"/>
  <c r="L140"/>
  <c r="H140"/>
  <c r="S141" i="15"/>
  <c r="R141"/>
  <c r="P141"/>
  <c r="L141"/>
  <c r="H141"/>
  <c r="S140"/>
  <c r="R140"/>
  <c r="P140"/>
  <c r="L140"/>
  <c r="H140"/>
  <c r="S141" i="14"/>
  <c r="R141"/>
  <c r="P141"/>
  <c r="L141"/>
  <c r="H141"/>
  <c r="S140"/>
  <c r="R140"/>
  <c r="P140"/>
  <c r="L140"/>
  <c r="H140"/>
  <c r="S141" i="13"/>
  <c r="R141"/>
  <c r="P141"/>
  <c r="L141"/>
  <c r="H141"/>
  <c r="S140"/>
  <c r="R140"/>
  <c r="T140" s="1"/>
  <c r="P140"/>
  <c r="L140"/>
  <c r="H140"/>
  <c r="S141" i="10"/>
  <c r="R141"/>
  <c r="P141"/>
  <c r="L141"/>
  <c r="H141"/>
  <c r="S140"/>
  <c r="R140"/>
  <c r="P140"/>
  <c r="L140"/>
  <c r="H140"/>
  <c r="S141" i="8"/>
  <c r="R141"/>
  <c r="P141"/>
  <c r="L141"/>
  <c r="H141"/>
  <c r="S140"/>
  <c r="R140"/>
  <c r="P140"/>
  <c r="L140"/>
  <c r="H140"/>
  <c r="S141" i="4"/>
  <c r="R141"/>
  <c r="P141"/>
  <c r="L141"/>
  <c r="H141"/>
  <c r="S140"/>
  <c r="R140"/>
  <c r="P140"/>
  <c r="L140"/>
  <c r="H140"/>
  <c r="S141" i="3"/>
  <c r="R141"/>
  <c r="P141"/>
  <c r="L141"/>
  <c r="H141"/>
  <c r="S140"/>
  <c r="R140"/>
  <c r="P140"/>
  <c r="L140"/>
  <c r="H140"/>
  <c r="S141" i="2"/>
  <c r="R141"/>
  <c r="P141"/>
  <c r="L141"/>
  <c r="H141"/>
  <c r="S140"/>
  <c r="R140"/>
  <c r="P140"/>
  <c r="L140"/>
  <c r="H140"/>
  <c r="L186" i="12"/>
  <c r="K186"/>
  <c r="H186"/>
  <c r="G186"/>
  <c r="D186"/>
  <c r="C186"/>
  <c r="E186" s="1"/>
  <c r="L185"/>
  <c r="K185"/>
  <c r="M185" s="1"/>
  <c r="H185"/>
  <c r="G185"/>
  <c r="I185" s="1"/>
  <c r="D185"/>
  <c r="C185"/>
  <c r="L184"/>
  <c r="K184"/>
  <c r="H184"/>
  <c r="G184"/>
  <c r="I184" s="1"/>
  <c r="D184"/>
  <c r="C184"/>
  <c r="E184" s="1"/>
  <c r="L183"/>
  <c r="K183"/>
  <c r="H183"/>
  <c r="G183"/>
  <c r="I183" s="1"/>
  <c r="D183"/>
  <c r="C183"/>
  <c r="E183" s="1"/>
  <c r="L179"/>
  <c r="K179"/>
  <c r="H179"/>
  <c r="G179"/>
  <c r="D179"/>
  <c r="P179" s="1"/>
  <c r="C179"/>
  <c r="L178"/>
  <c r="K178"/>
  <c r="H178"/>
  <c r="G178"/>
  <c r="I178" s="1"/>
  <c r="D178"/>
  <c r="C178"/>
  <c r="M186"/>
  <c r="P186"/>
  <c r="P185"/>
  <c r="O185"/>
  <c r="M184"/>
  <c r="P184"/>
  <c r="M183"/>
  <c r="P183"/>
  <c r="O183"/>
  <c r="L174"/>
  <c r="K174"/>
  <c r="H174"/>
  <c r="G174"/>
  <c r="D174"/>
  <c r="C174"/>
  <c r="L173"/>
  <c r="K173"/>
  <c r="H173"/>
  <c r="G173"/>
  <c r="D173"/>
  <c r="C173"/>
  <c r="L172"/>
  <c r="K172"/>
  <c r="H172"/>
  <c r="G172"/>
  <c r="D172"/>
  <c r="C172"/>
  <c r="L171"/>
  <c r="K171"/>
  <c r="H171"/>
  <c r="G171"/>
  <c r="D171"/>
  <c r="C171"/>
  <c r="E171" s="1"/>
  <c r="L167"/>
  <c r="K167"/>
  <c r="H167"/>
  <c r="G167"/>
  <c r="D167"/>
  <c r="C167"/>
  <c r="L166"/>
  <c r="K166"/>
  <c r="H166"/>
  <c r="G166"/>
  <c r="I166" s="1"/>
  <c r="D166"/>
  <c r="C166"/>
  <c r="M174"/>
  <c r="P174"/>
  <c r="M173"/>
  <c r="P173"/>
  <c r="O173"/>
  <c r="M172"/>
  <c r="P172"/>
  <c r="M171"/>
  <c r="P171"/>
  <c r="O171"/>
  <c r="Q171" s="1"/>
  <c r="L162"/>
  <c r="L198" s="1"/>
  <c r="K162"/>
  <c r="K198" s="1"/>
  <c r="L161"/>
  <c r="L197" s="1"/>
  <c r="K161"/>
  <c r="K197" s="1"/>
  <c r="L160"/>
  <c r="L196" s="1"/>
  <c r="K160"/>
  <c r="K196" s="1"/>
  <c r="L159"/>
  <c r="L195" s="1"/>
  <c r="K159"/>
  <c r="K195" s="1"/>
  <c r="L155"/>
  <c r="K155"/>
  <c r="L154"/>
  <c r="L190" s="1"/>
  <c r="K154"/>
  <c r="K190" s="1"/>
  <c r="H162"/>
  <c r="H198" s="1"/>
  <c r="G162"/>
  <c r="G198" s="1"/>
  <c r="H161"/>
  <c r="H197" s="1"/>
  <c r="G161"/>
  <c r="G197" s="1"/>
  <c r="H160"/>
  <c r="H196" s="1"/>
  <c r="G160"/>
  <c r="G196" s="1"/>
  <c r="H159"/>
  <c r="H195" s="1"/>
  <c r="G159"/>
  <c r="G195" s="1"/>
  <c r="H155"/>
  <c r="G155"/>
  <c r="G191" s="1"/>
  <c r="H154"/>
  <c r="H190" s="1"/>
  <c r="G154"/>
  <c r="G190" s="1"/>
  <c r="D162"/>
  <c r="D198" s="1"/>
  <c r="P198" s="1"/>
  <c r="D161"/>
  <c r="D197" s="1"/>
  <c r="D160"/>
  <c r="D196" s="1"/>
  <c r="P196" s="1"/>
  <c r="D159"/>
  <c r="D195" s="1"/>
  <c r="D155"/>
  <c r="D154"/>
  <c r="D190" s="1"/>
  <c r="C162"/>
  <c r="C198" s="1"/>
  <c r="C161"/>
  <c r="C197" s="1"/>
  <c r="C160"/>
  <c r="C196" s="1"/>
  <c r="C159"/>
  <c r="C195" s="1"/>
  <c r="C155"/>
  <c r="C154"/>
  <c r="C190" s="1"/>
  <c r="I154"/>
  <c r="I159"/>
  <c r="E160"/>
  <c r="I160"/>
  <c r="I161"/>
  <c r="I162"/>
  <c r="M162"/>
  <c r="P162"/>
  <c r="M161"/>
  <c r="M160"/>
  <c r="P160"/>
  <c r="M159"/>
  <c r="P159"/>
  <c r="L138"/>
  <c r="K138"/>
  <c r="H138"/>
  <c r="G138"/>
  <c r="D138"/>
  <c r="C138"/>
  <c r="L137"/>
  <c r="K137"/>
  <c r="H137"/>
  <c r="G137"/>
  <c r="D137"/>
  <c r="C137"/>
  <c r="L136"/>
  <c r="K136"/>
  <c r="H136"/>
  <c r="G136"/>
  <c r="I136" s="1"/>
  <c r="D136"/>
  <c r="C136"/>
  <c r="E136" s="1"/>
  <c r="L135"/>
  <c r="K135"/>
  <c r="H135"/>
  <c r="G135"/>
  <c r="I135" s="1"/>
  <c r="D135"/>
  <c r="C135"/>
  <c r="E135" s="1"/>
  <c r="L131"/>
  <c r="K131"/>
  <c r="H131"/>
  <c r="G131"/>
  <c r="D131"/>
  <c r="P131" s="1"/>
  <c r="C131"/>
  <c r="L130"/>
  <c r="K130"/>
  <c r="H130"/>
  <c r="G130"/>
  <c r="D130"/>
  <c r="C130"/>
  <c r="P138"/>
  <c r="P137"/>
  <c r="O137"/>
  <c r="P136"/>
  <c r="P135"/>
  <c r="O135"/>
  <c r="L126"/>
  <c r="K126"/>
  <c r="H126"/>
  <c r="G126"/>
  <c r="D126"/>
  <c r="P126" s="1"/>
  <c r="C126"/>
  <c r="L125"/>
  <c r="K125"/>
  <c r="H125"/>
  <c r="G125"/>
  <c r="D125"/>
  <c r="P125" s="1"/>
  <c r="C125"/>
  <c r="O125" s="1"/>
  <c r="L124"/>
  <c r="K124"/>
  <c r="H124"/>
  <c r="G124"/>
  <c r="D124"/>
  <c r="C124"/>
  <c r="L123"/>
  <c r="K123"/>
  <c r="H123"/>
  <c r="G123"/>
  <c r="D123"/>
  <c r="C123"/>
  <c r="L119"/>
  <c r="K119"/>
  <c r="H119"/>
  <c r="G119"/>
  <c r="D119"/>
  <c r="C119"/>
  <c r="L118"/>
  <c r="K118"/>
  <c r="H118"/>
  <c r="G118"/>
  <c r="D118"/>
  <c r="C118"/>
  <c r="M126"/>
  <c r="M125"/>
  <c r="P124"/>
  <c r="P123"/>
  <c r="O123"/>
  <c r="L114"/>
  <c r="L150" s="1"/>
  <c r="K114"/>
  <c r="L113"/>
  <c r="L149" s="1"/>
  <c r="K113"/>
  <c r="L112"/>
  <c r="L148" s="1"/>
  <c r="K112"/>
  <c r="L111"/>
  <c r="L147" s="1"/>
  <c r="K111"/>
  <c r="L107"/>
  <c r="K107"/>
  <c r="L106"/>
  <c r="L142" s="1"/>
  <c r="K106"/>
  <c r="H114"/>
  <c r="H150" s="1"/>
  <c r="G114"/>
  <c r="G150" s="1"/>
  <c r="H113"/>
  <c r="H149" s="1"/>
  <c r="G113"/>
  <c r="H112"/>
  <c r="H148" s="1"/>
  <c r="G112"/>
  <c r="H111"/>
  <c r="H147" s="1"/>
  <c r="G111"/>
  <c r="H107"/>
  <c r="G107"/>
  <c r="H106"/>
  <c r="H142" s="1"/>
  <c r="G106"/>
  <c r="D114"/>
  <c r="D150" s="1"/>
  <c r="D113"/>
  <c r="D112"/>
  <c r="P112" s="1"/>
  <c r="D111"/>
  <c r="D107"/>
  <c r="P107" s="1"/>
  <c r="D106"/>
  <c r="C114"/>
  <c r="C150" s="1"/>
  <c r="C113"/>
  <c r="C149" s="1"/>
  <c r="C112"/>
  <c r="C148" s="1"/>
  <c r="C111"/>
  <c r="C147" s="1"/>
  <c r="C107"/>
  <c r="C106"/>
  <c r="E106" s="1"/>
  <c r="I114"/>
  <c r="I113"/>
  <c r="O113"/>
  <c r="I112"/>
  <c r="I111"/>
  <c r="O141" i="6"/>
  <c r="N141"/>
  <c r="O140"/>
  <c r="N140"/>
  <c r="O136"/>
  <c r="N136"/>
  <c r="O135"/>
  <c r="N135"/>
  <c r="O134"/>
  <c r="N134"/>
  <c r="O133"/>
  <c r="N133"/>
  <c r="O132"/>
  <c r="N132"/>
  <c r="O131"/>
  <c r="N131"/>
  <c r="O130"/>
  <c r="N130"/>
  <c r="O129"/>
  <c r="N129"/>
  <c r="O128"/>
  <c r="N128"/>
  <c r="O127"/>
  <c r="N127"/>
  <c r="O126"/>
  <c r="N126"/>
  <c r="O125"/>
  <c r="N125"/>
  <c r="O124"/>
  <c r="N124"/>
  <c r="O123"/>
  <c r="N123"/>
  <c r="O122"/>
  <c r="N122"/>
  <c r="O121"/>
  <c r="N121"/>
  <c r="O120"/>
  <c r="N120"/>
  <c r="O119"/>
  <c r="N119"/>
  <c r="O118"/>
  <c r="N118"/>
  <c r="O117"/>
  <c r="N117"/>
  <c r="O116"/>
  <c r="N116"/>
  <c r="O115"/>
  <c r="N115"/>
  <c r="O114"/>
  <c r="N114"/>
  <c r="O113"/>
  <c r="N113"/>
  <c r="O112"/>
  <c r="N112"/>
  <c r="O111"/>
  <c r="N111"/>
  <c r="O110"/>
  <c r="N110"/>
  <c r="O109"/>
  <c r="N109"/>
  <c r="O108"/>
  <c r="O137" s="1"/>
  <c r="N108"/>
  <c r="N137" s="1"/>
  <c r="O106"/>
  <c r="N106"/>
  <c r="O105"/>
  <c r="N105"/>
  <c r="O103"/>
  <c r="N103"/>
  <c r="O102"/>
  <c r="N102"/>
  <c r="O101"/>
  <c r="N101"/>
  <c r="O100"/>
  <c r="N100"/>
  <c r="O99"/>
  <c r="N99"/>
  <c r="O98"/>
  <c r="N98"/>
  <c r="O97"/>
  <c r="N97"/>
  <c r="O96"/>
  <c r="N96"/>
  <c r="O95"/>
  <c r="N95"/>
  <c r="O94"/>
  <c r="N94"/>
  <c r="O93"/>
  <c r="N93"/>
  <c r="O92"/>
  <c r="N92"/>
  <c r="O91"/>
  <c r="N91"/>
  <c r="O90"/>
  <c r="N90"/>
  <c r="O89"/>
  <c r="N89"/>
  <c r="O88"/>
  <c r="N88"/>
  <c r="O87"/>
  <c r="N87"/>
  <c r="O86"/>
  <c r="N86"/>
  <c r="O85"/>
  <c r="O104" s="1"/>
  <c r="N85"/>
  <c r="N104" s="1"/>
  <c r="O83"/>
  <c r="N83"/>
  <c r="O82"/>
  <c r="N82"/>
  <c r="O80"/>
  <c r="N80"/>
  <c r="O79"/>
  <c r="N79"/>
  <c r="O78"/>
  <c r="N78"/>
  <c r="O77"/>
  <c r="N77"/>
  <c r="O76"/>
  <c r="N76"/>
  <c r="O75"/>
  <c r="N75"/>
  <c r="O74"/>
  <c r="N74"/>
  <c r="O73"/>
  <c r="N73"/>
  <c r="O72"/>
  <c r="N72"/>
  <c r="O71"/>
  <c r="N71"/>
  <c r="O70"/>
  <c r="N70"/>
  <c r="O69"/>
  <c r="N69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O81" s="1"/>
  <c r="N55"/>
  <c r="N81" s="1"/>
  <c r="O53"/>
  <c r="N53"/>
  <c r="O52"/>
  <c r="N52"/>
  <c r="O50"/>
  <c r="N50"/>
  <c r="O49"/>
  <c r="N49"/>
  <c r="O48"/>
  <c r="N48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O51" s="1"/>
  <c r="N13"/>
  <c r="N51" s="1"/>
  <c r="O11"/>
  <c r="N11"/>
  <c r="O8"/>
  <c r="N8"/>
  <c r="K141"/>
  <c r="J141"/>
  <c r="K140"/>
  <c r="J140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10"/>
  <c r="J110"/>
  <c r="K109"/>
  <c r="J109"/>
  <c r="K108"/>
  <c r="K137" s="1"/>
  <c r="J108"/>
  <c r="J137" s="1"/>
  <c r="K106"/>
  <c r="J106"/>
  <c r="K105"/>
  <c r="J105"/>
  <c r="K103"/>
  <c r="J103"/>
  <c r="K102"/>
  <c r="J102"/>
  <c r="K101"/>
  <c r="J101"/>
  <c r="K100"/>
  <c r="J100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2"/>
  <c r="J82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K81" s="1"/>
  <c r="J55"/>
  <c r="K53"/>
  <c r="K52"/>
  <c r="J52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8"/>
  <c r="J8"/>
  <c r="G141"/>
  <c r="F141"/>
  <c r="G140"/>
  <c r="F140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8"/>
  <c r="F8"/>
  <c r="Q137" i="18"/>
  <c r="O137"/>
  <c r="N137"/>
  <c r="M137"/>
  <c r="K137"/>
  <c r="J137"/>
  <c r="I137"/>
  <c r="G137"/>
  <c r="F137"/>
  <c r="S136"/>
  <c r="U136" s="1"/>
  <c r="R136"/>
  <c r="T136" s="1"/>
  <c r="P136"/>
  <c r="L136"/>
  <c r="H136"/>
  <c r="S135"/>
  <c r="R135"/>
  <c r="T135" s="1"/>
  <c r="P135"/>
  <c r="L135"/>
  <c r="H135"/>
  <c r="S134"/>
  <c r="U134" s="1"/>
  <c r="R134"/>
  <c r="P134"/>
  <c r="L134"/>
  <c r="H134"/>
  <c r="S131"/>
  <c r="R131"/>
  <c r="P131"/>
  <c r="L131"/>
  <c r="H131"/>
  <c r="S130"/>
  <c r="R130"/>
  <c r="P130"/>
  <c r="L130"/>
  <c r="H130"/>
  <c r="S129"/>
  <c r="U129" s="1"/>
  <c r="R129"/>
  <c r="P129"/>
  <c r="L129"/>
  <c r="H129"/>
  <c r="S126"/>
  <c r="U126" s="1"/>
  <c r="R126"/>
  <c r="T126" s="1"/>
  <c r="P126"/>
  <c r="L126"/>
  <c r="H126"/>
  <c r="S125"/>
  <c r="U125" s="1"/>
  <c r="R125"/>
  <c r="T125" s="1"/>
  <c r="P125"/>
  <c r="L125"/>
  <c r="H125"/>
  <c r="S124"/>
  <c r="U124" s="1"/>
  <c r="R124"/>
  <c r="T124" s="1"/>
  <c r="P124"/>
  <c r="L124"/>
  <c r="H124"/>
  <c r="S121"/>
  <c r="R121"/>
  <c r="T121" s="1"/>
  <c r="P121"/>
  <c r="L121"/>
  <c r="H121"/>
  <c r="S120"/>
  <c r="U120" s="1"/>
  <c r="R120"/>
  <c r="P120"/>
  <c r="L120"/>
  <c r="H120"/>
  <c r="S119"/>
  <c r="R119"/>
  <c r="T119" s="1"/>
  <c r="P119"/>
  <c r="L119"/>
  <c r="H119"/>
  <c r="S118"/>
  <c r="U118" s="1"/>
  <c r="R118"/>
  <c r="P118"/>
  <c r="L118"/>
  <c r="H118"/>
  <c r="S115"/>
  <c r="R115"/>
  <c r="T115" s="1"/>
  <c r="P115"/>
  <c r="L115"/>
  <c r="H115"/>
  <c r="S114"/>
  <c r="U114" s="1"/>
  <c r="R114"/>
  <c r="T114" s="1"/>
  <c r="P114"/>
  <c r="L114"/>
  <c r="H114"/>
  <c r="S113"/>
  <c r="R113"/>
  <c r="T113" s="1"/>
  <c r="P113"/>
  <c r="L113"/>
  <c r="H113"/>
  <c r="S112"/>
  <c r="U112" s="1"/>
  <c r="R112"/>
  <c r="T112" s="1"/>
  <c r="P112"/>
  <c r="L112"/>
  <c r="H112"/>
  <c r="S111"/>
  <c r="U111" s="1"/>
  <c r="R111"/>
  <c r="T111" s="1"/>
  <c r="P111"/>
  <c r="L111"/>
  <c r="H111"/>
  <c r="S110"/>
  <c r="U110" s="1"/>
  <c r="R110"/>
  <c r="P110"/>
  <c r="L110"/>
  <c r="H110"/>
  <c r="S109"/>
  <c r="U109" s="1"/>
  <c r="R109"/>
  <c r="T109" s="1"/>
  <c r="P109"/>
  <c r="L109"/>
  <c r="H109"/>
  <c r="S108"/>
  <c r="R108"/>
  <c r="P108"/>
  <c r="L108"/>
  <c r="H108"/>
  <c r="P107"/>
  <c r="L107"/>
  <c r="H107"/>
  <c r="R106"/>
  <c r="Q106"/>
  <c r="P106"/>
  <c r="O106"/>
  <c r="L182" i="22" s="1"/>
  <c r="N106" i="18"/>
  <c r="K182" i="22" s="1"/>
  <c r="M106" i="18"/>
  <c r="K106"/>
  <c r="H182" i="22" s="1"/>
  <c r="J106" i="18"/>
  <c r="G182" i="22" s="1"/>
  <c r="I106" i="18"/>
  <c r="G106"/>
  <c r="D182" i="22" s="1"/>
  <c r="F106" i="18"/>
  <c r="C182" i="22" s="1"/>
  <c r="Q104" i="18"/>
  <c r="O104"/>
  <c r="N104"/>
  <c r="M104"/>
  <c r="K104"/>
  <c r="J104"/>
  <c r="I104"/>
  <c r="G104"/>
  <c r="F104"/>
  <c r="S103"/>
  <c r="U103" s="1"/>
  <c r="R103"/>
  <c r="T103" s="1"/>
  <c r="P103"/>
  <c r="L103"/>
  <c r="H103"/>
  <c r="S102"/>
  <c r="R102"/>
  <c r="T102" s="1"/>
  <c r="P102"/>
  <c r="L102"/>
  <c r="H102"/>
  <c r="S101"/>
  <c r="U101" s="1"/>
  <c r="R101"/>
  <c r="P101"/>
  <c r="L101"/>
  <c r="H101"/>
  <c r="S98"/>
  <c r="R98"/>
  <c r="T98" s="1"/>
  <c r="P98"/>
  <c r="L98"/>
  <c r="H98"/>
  <c r="S97"/>
  <c r="R97"/>
  <c r="T97" s="1"/>
  <c r="P97"/>
  <c r="L97"/>
  <c r="H97"/>
  <c r="S96"/>
  <c r="R96"/>
  <c r="P96"/>
  <c r="L96"/>
  <c r="H96"/>
  <c r="S95"/>
  <c r="U95" s="1"/>
  <c r="R95"/>
  <c r="T95" s="1"/>
  <c r="P95"/>
  <c r="L95"/>
  <c r="H95"/>
  <c r="S94"/>
  <c r="R94"/>
  <c r="P94"/>
  <c r="L94"/>
  <c r="H94"/>
  <c r="S93"/>
  <c r="U93" s="1"/>
  <c r="R93"/>
  <c r="P93"/>
  <c r="L93"/>
  <c r="H93"/>
  <c r="S92"/>
  <c r="U92" s="1"/>
  <c r="R92"/>
  <c r="P92"/>
  <c r="L92"/>
  <c r="H92"/>
  <c r="S89"/>
  <c r="R89"/>
  <c r="T89" s="1"/>
  <c r="P89"/>
  <c r="L89"/>
  <c r="H89"/>
  <c r="S88"/>
  <c r="R88"/>
  <c r="T88" s="1"/>
  <c r="P88"/>
  <c r="L88"/>
  <c r="H88"/>
  <c r="S87"/>
  <c r="U87" s="1"/>
  <c r="R87"/>
  <c r="P87"/>
  <c r="L87"/>
  <c r="H87"/>
  <c r="S86"/>
  <c r="R86"/>
  <c r="T86" s="1"/>
  <c r="P86"/>
  <c r="L86"/>
  <c r="H86"/>
  <c r="S85"/>
  <c r="R85"/>
  <c r="P85"/>
  <c r="P104" s="1"/>
  <c r="L85"/>
  <c r="H85"/>
  <c r="P84"/>
  <c r="L84"/>
  <c r="H84"/>
  <c r="Q83"/>
  <c r="O83"/>
  <c r="L181" i="22" s="1"/>
  <c r="M181" s="1"/>
  <c r="N83" i="18"/>
  <c r="K181" i="22" s="1"/>
  <c r="M83" i="18"/>
  <c r="K83"/>
  <c r="H181" i="22" s="1"/>
  <c r="J83" i="18"/>
  <c r="G181" i="22" s="1"/>
  <c r="I83" i="18"/>
  <c r="G83"/>
  <c r="D181" i="22" s="1"/>
  <c r="F83" i="18"/>
  <c r="C181" i="22" s="1"/>
  <c r="Q81" i="18"/>
  <c r="O81"/>
  <c r="N81"/>
  <c r="M81"/>
  <c r="K81"/>
  <c r="J81"/>
  <c r="I81"/>
  <c r="G81"/>
  <c r="F81"/>
  <c r="S80"/>
  <c r="U80" s="1"/>
  <c r="R80"/>
  <c r="P80"/>
  <c r="L80"/>
  <c r="H80"/>
  <c r="S79"/>
  <c r="U79" s="1"/>
  <c r="R79"/>
  <c r="T79" s="1"/>
  <c r="P79"/>
  <c r="L79"/>
  <c r="H79"/>
  <c r="S78"/>
  <c r="R78"/>
  <c r="T78" s="1"/>
  <c r="P78"/>
  <c r="L78"/>
  <c r="H78"/>
  <c r="S77"/>
  <c r="R77"/>
  <c r="P77"/>
  <c r="L77"/>
  <c r="H77"/>
  <c r="S76"/>
  <c r="R76"/>
  <c r="P76"/>
  <c r="L76"/>
  <c r="H76"/>
  <c r="S75"/>
  <c r="R75"/>
  <c r="P75"/>
  <c r="L75"/>
  <c r="H75"/>
  <c r="S72"/>
  <c r="U72" s="1"/>
  <c r="R72"/>
  <c r="P72"/>
  <c r="L72"/>
  <c r="H72"/>
  <c r="S71"/>
  <c r="R71"/>
  <c r="P71"/>
  <c r="L71"/>
  <c r="H71"/>
  <c r="S70"/>
  <c r="U70" s="1"/>
  <c r="R70"/>
  <c r="T70" s="1"/>
  <c r="P70"/>
  <c r="L70"/>
  <c r="H70"/>
  <c r="S69"/>
  <c r="R69"/>
  <c r="P69"/>
  <c r="L69"/>
  <c r="H69"/>
  <c r="S68"/>
  <c r="U68" s="1"/>
  <c r="R68"/>
  <c r="P68"/>
  <c r="L68"/>
  <c r="H68"/>
  <c r="S65"/>
  <c r="R65"/>
  <c r="P65"/>
  <c r="L65"/>
  <c r="H65"/>
  <c r="S64"/>
  <c r="U64" s="1"/>
  <c r="R64"/>
  <c r="P64"/>
  <c r="L64"/>
  <c r="H64"/>
  <c r="S63"/>
  <c r="R63"/>
  <c r="P63"/>
  <c r="L63"/>
  <c r="H63"/>
  <c r="S62"/>
  <c r="U62" s="1"/>
  <c r="R62"/>
  <c r="P62"/>
  <c r="L62"/>
  <c r="H62"/>
  <c r="S59"/>
  <c r="U59" s="1"/>
  <c r="R59"/>
  <c r="P59"/>
  <c r="L59"/>
  <c r="H59"/>
  <c r="S58"/>
  <c r="U58" s="1"/>
  <c r="R58"/>
  <c r="T58" s="1"/>
  <c r="P58"/>
  <c r="L58"/>
  <c r="H58"/>
  <c r="S57"/>
  <c r="R57"/>
  <c r="T57" s="1"/>
  <c r="P57"/>
  <c r="L57"/>
  <c r="H57"/>
  <c r="S56"/>
  <c r="R56"/>
  <c r="P56"/>
  <c r="L56"/>
  <c r="H56"/>
  <c r="S55"/>
  <c r="R55"/>
  <c r="P55"/>
  <c r="L55"/>
  <c r="H55"/>
  <c r="P54"/>
  <c r="L54"/>
  <c r="H54"/>
  <c r="Q53"/>
  <c r="O53"/>
  <c r="L180" i="22" s="1"/>
  <c r="N53" i="18"/>
  <c r="K180" i="22" s="1"/>
  <c r="M53" i="18"/>
  <c r="K53"/>
  <c r="H180" i="22" s="1"/>
  <c r="J53" i="18"/>
  <c r="G180" i="22" s="1"/>
  <c r="I53" i="18"/>
  <c r="G53"/>
  <c r="D180" i="22" s="1"/>
  <c r="F53" i="18"/>
  <c r="C180" i="22" s="1"/>
  <c r="Q51" i="18"/>
  <c r="Q143" s="1"/>
  <c r="O51"/>
  <c r="O143" s="1"/>
  <c r="N51"/>
  <c r="N143" s="1"/>
  <c r="M51"/>
  <c r="M143" s="1"/>
  <c r="K51"/>
  <c r="J51"/>
  <c r="I51"/>
  <c r="I143" s="1"/>
  <c r="G51"/>
  <c r="F51"/>
  <c r="S50"/>
  <c r="U50" s="1"/>
  <c r="R50"/>
  <c r="T50" s="1"/>
  <c r="P50"/>
  <c r="L50"/>
  <c r="H50"/>
  <c r="S49"/>
  <c r="U49" s="1"/>
  <c r="R49"/>
  <c r="T49" s="1"/>
  <c r="P49"/>
  <c r="L49"/>
  <c r="H49"/>
  <c r="S46"/>
  <c r="R46"/>
  <c r="P46"/>
  <c r="L46"/>
  <c r="H46"/>
  <c r="S45"/>
  <c r="R45"/>
  <c r="P45"/>
  <c r="L45"/>
  <c r="H45"/>
  <c r="S44"/>
  <c r="R44"/>
  <c r="P44"/>
  <c r="L44"/>
  <c r="H44"/>
  <c r="S43"/>
  <c r="U43" s="1"/>
  <c r="R43"/>
  <c r="T43" s="1"/>
  <c r="P43"/>
  <c r="L43"/>
  <c r="H43"/>
  <c r="S42"/>
  <c r="R42"/>
  <c r="T42" s="1"/>
  <c r="P42"/>
  <c r="L42"/>
  <c r="H42"/>
  <c r="S41"/>
  <c r="U41" s="1"/>
  <c r="R41"/>
  <c r="P41"/>
  <c r="L41"/>
  <c r="H41"/>
  <c r="S40"/>
  <c r="R40"/>
  <c r="P40"/>
  <c r="L40"/>
  <c r="H40"/>
  <c r="S39"/>
  <c r="R39"/>
  <c r="P39"/>
  <c r="L39"/>
  <c r="H39"/>
  <c r="S38"/>
  <c r="R38"/>
  <c r="P38"/>
  <c r="L38"/>
  <c r="H38"/>
  <c r="S37"/>
  <c r="U37" s="1"/>
  <c r="R37"/>
  <c r="T37" s="1"/>
  <c r="P37"/>
  <c r="L37"/>
  <c r="H37"/>
  <c r="S36"/>
  <c r="R36"/>
  <c r="P36"/>
  <c r="L36"/>
  <c r="H36"/>
  <c r="S35"/>
  <c r="U35" s="1"/>
  <c r="R35"/>
  <c r="T35" s="1"/>
  <c r="P35"/>
  <c r="L35"/>
  <c r="H35"/>
  <c r="S32"/>
  <c r="R32"/>
  <c r="T32" s="1"/>
  <c r="P32"/>
  <c r="L32"/>
  <c r="H32"/>
  <c r="S31"/>
  <c r="U31" s="1"/>
  <c r="R31"/>
  <c r="T31" s="1"/>
  <c r="P31"/>
  <c r="L31"/>
  <c r="H31"/>
  <c r="S30"/>
  <c r="R30"/>
  <c r="T30" s="1"/>
  <c r="P30"/>
  <c r="L30"/>
  <c r="H30"/>
  <c r="S29"/>
  <c r="U29" s="1"/>
  <c r="R29"/>
  <c r="P29"/>
  <c r="L29"/>
  <c r="H29"/>
  <c r="S26"/>
  <c r="R26"/>
  <c r="P26"/>
  <c r="L26"/>
  <c r="H26"/>
  <c r="S25"/>
  <c r="U25" s="1"/>
  <c r="R25"/>
  <c r="P25"/>
  <c r="L25"/>
  <c r="H25"/>
  <c r="S24"/>
  <c r="R24"/>
  <c r="P24"/>
  <c r="L24"/>
  <c r="H24"/>
  <c r="S21"/>
  <c r="U21" s="1"/>
  <c r="R21"/>
  <c r="P21"/>
  <c r="L21"/>
  <c r="H21"/>
  <c r="S20"/>
  <c r="R20"/>
  <c r="T20" s="1"/>
  <c r="P20"/>
  <c r="L20"/>
  <c r="H20"/>
  <c r="S17"/>
  <c r="R17"/>
  <c r="T17" s="1"/>
  <c r="P17"/>
  <c r="L17"/>
  <c r="H17"/>
  <c r="S16"/>
  <c r="R16"/>
  <c r="P16"/>
  <c r="L16"/>
  <c r="H16"/>
  <c r="S15"/>
  <c r="U15" s="1"/>
  <c r="R15"/>
  <c r="T15" s="1"/>
  <c r="P15"/>
  <c r="L15"/>
  <c r="H15"/>
  <c r="S14"/>
  <c r="R14"/>
  <c r="P14"/>
  <c r="L14"/>
  <c r="H14"/>
  <c r="S13"/>
  <c r="U13" s="1"/>
  <c r="R13"/>
  <c r="P13"/>
  <c r="L13"/>
  <c r="H13"/>
  <c r="P12"/>
  <c r="L12"/>
  <c r="H12"/>
  <c r="Q11"/>
  <c r="O11"/>
  <c r="N11"/>
  <c r="M11"/>
  <c r="K11"/>
  <c r="J11"/>
  <c r="I11"/>
  <c r="G11"/>
  <c r="F11"/>
  <c r="P9"/>
  <c r="L9"/>
  <c r="H9"/>
  <c r="S8"/>
  <c r="R8"/>
  <c r="T8" s="1"/>
  <c r="P8"/>
  <c r="L8"/>
  <c r="H8"/>
  <c r="Q137" i="17"/>
  <c r="O137"/>
  <c r="N137"/>
  <c r="M137"/>
  <c r="K137"/>
  <c r="J137"/>
  <c r="I137"/>
  <c r="G137"/>
  <c r="F137"/>
  <c r="S136"/>
  <c r="R136"/>
  <c r="P136"/>
  <c r="L136"/>
  <c r="H136"/>
  <c r="S135"/>
  <c r="R135"/>
  <c r="P135"/>
  <c r="L135"/>
  <c r="H135"/>
  <c r="S134"/>
  <c r="R134"/>
  <c r="P134"/>
  <c r="L134"/>
  <c r="H134"/>
  <c r="S131"/>
  <c r="R131"/>
  <c r="P131"/>
  <c r="L131"/>
  <c r="H131"/>
  <c r="S130"/>
  <c r="R130"/>
  <c r="P130"/>
  <c r="L130"/>
  <c r="H130"/>
  <c r="S129"/>
  <c r="R129"/>
  <c r="P129"/>
  <c r="L129"/>
  <c r="H129"/>
  <c r="S126"/>
  <c r="R126"/>
  <c r="P126"/>
  <c r="L126"/>
  <c r="H126"/>
  <c r="S125"/>
  <c r="R125"/>
  <c r="P125"/>
  <c r="L125"/>
  <c r="H125"/>
  <c r="S124"/>
  <c r="R124"/>
  <c r="P124"/>
  <c r="L124"/>
  <c r="H124"/>
  <c r="S121"/>
  <c r="R121"/>
  <c r="P121"/>
  <c r="L121"/>
  <c r="H121"/>
  <c r="S120"/>
  <c r="R120"/>
  <c r="P120"/>
  <c r="L120"/>
  <c r="H120"/>
  <c r="S119"/>
  <c r="R119"/>
  <c r="P119"/>
  <c r="L119"/>
  <c r="H119"/>
  <c r="S118"/>
  <c r="R118"/>
  <c r="P118"/>
  <c r="L118"/>
  <c r="H118"/>
  <c r="S115"/>
  <c r="R115"/>
  <c r="P115"/>
  <c r="L115"/>
  <c r="H115"/>
  <c r="S114"/>
  <c r="R114"/>
  <c r="P114"/>
  <c r="L114"/>
  <c r="H114"/>
  <c r="S113"/>
  <c r="R113"/>
  <c r="T113" s="1"/>
  <c r="P113"/>
  <c r="L113"/>
  <c r="H113"/>
  <c r="S112"/>
  <c r="U112" s="1"/>
  <c r="R112"/>
  <c r="P112"/>
  <c r="L112"/>
  <c r="H112"/>
  <c r="S111"/>
  <c r="R111"/>
  <c r="T111" s="1"/>
  <c r="P111"/>
  <c r="L111"/>
  <c r="H111"/>
  <c r="S110"/>
  <c r="U110" s="1"/>
  <c r="R110"/>
  <c r="P110"/>
  <c r="L110"/>
  <c r="H110"/>
  <c r="S109"/>
  <c r="R109"/>
  <c r="T109" s="1"/>
  <c r="P109"/>
  <c r="L109"/>
  <c r="H109"/>
  <c r="S108"/>
  <c r="R108"/>
  <c r="P108"/>
  <c r="P137" s="1"/>
  <c r="L108"/>
  <c r="H108"/>
  <c r="P107"/>
  <c r="L107"/>
  <c r="H107"/>
  <c r="S106"/>
  <c r="Q106"/>
  <c r="P106"/>
  <c r="O106"/>
  <c r="L170" i="22" s="1"/>
  <c r="N106" i="17"/>
  <c r="K170" i="22" s="1"/>
  <c r="M106" i="17"/>
  <c r="L106"/>
  <c r="K106"/>
  <c r="H170" i="22" s="1"/>
  <c r="J106" i="17"/>
  <c r="G170" i="22" s="1"/>
  <c r="I106" i="17"/>
  <c r="G106"/>
  <c r="D170" i="22" s="1"/>
  <c r="F106" i="17"/>
  <c r="C170" i="22" s="1"/>
  <c r="Q104" i="17"/>
  <c r="O104"/>
  <c r="N104"/>
  <c r="M104"/>
  <c r="K104"/>
  <c r="J104"/>
  <c r="I104"/>
  <c r="G104"/>
  <c r="F104"/>
  <c r="S103"/>
  <c r="R103"/>
  <c r="T103" s="1"/>
  <c r="P103"/>
  <c r="L103"/>
  <c r="H103"/>
  <c r="S102"/>
  <c r="R102"/>
  <c r="P102"/>
  <c r="L102"/>
  <c r="H102"/>
  <c r="S101"/>
  <c r="R101"/>
  <c r="T101" s="1"/>
  <c r="P101"/>
  <c r="L101"/>
  <c r="H101"/>
  <c r="S98"/>
  <c r="U98" s="1"/>
  <c r="R98"/>
  <c r="P98"/>
  <c r="L98"/>
  <c r="H98"/>
  <c r="S97"/>
  <c r="R97"/>
  <c r="P97"/>
  <c r="L97"/>
  <c r="H97"/>
  <c r="S96"/>
  <c r="R96"/>
  <c r="P96"/>
  <c r="L96"/>
  <c r="H96"/>
  <c r="S95"/>
  <c r="R95"/>
  <c r="T95" s="1"/>
  <c r="P95"/>
  <c r="L95"/>
  <c r="H95"/>
  <c r="S94"/>
  <c r="U94" s="1"/>
  <c r="R94"/>
  <c r="P94"/>
  <c r="L94"/>
  <c r="H94"/>
  <c r="S93"/>
  <c r="R93"/>
  <c r="T93" s="1"/>
  <c r="P93"/>
  <c r="L93"/>
  <c r="H93"/>
  <c r="S92"/>
  <c r="U92" s="1"/>
  <c r="R92"/>
  <c r="P92"/>
  <c r="L92"/>
  <c r="H92"/>
  <c r="S89"/>
  <c r="R89"/>
  <c r="T89" s="1"/>
  <c r="P89"/>
  <c r="L89"/>
  <c r="H89"/>
  <c r="S88"/>
  <c r="R88"/>
  <c r="P88"/>
  <c r="L88"/>
  <c r="H88"/>
  <c r="S87"/>
  <c r="R87"/>
  <c r="T87" s="1"/>
  <c r="P87"/>
  <c r="L87"/>
  <c r="H87"/>
  <c r="S86"/>
  <c r="U86" s="1"/>
  <c r="R86"/>
  <c r="P86"/>
  <c r="L86"/>
  <c r="H86"/>
  <c r="S85"/>
  <c r="R85"/>
  <c r="R104" s="1"/>
  <c r="P85"/>
  <c r="L85"/>
  <c r="H85"/>
  <c r="P84"/>
  <c r="L84"/>
  <c r="H84"/>
  <c r="Q83"/>
  <c r="O83"/>
  <c r="L169" i="22" s="1"/>
  <c r="L193" s="1"/>
  <c r="N83" i="17"/>
  <c r="K169" i="22" s="1"/>
  <c r="M83" i="17"/>
  <c r="K83"/>
  <c r="H169" i="22" s="1"/>
  <c r="H193" s="1"/>
  <c r="J83" i="17"/>
  <c r="G169" i="22" s="1"/>
  <c r="I83" i="17"/>
  <c r="G83"/>
  <c r="D169" i="22" s="1"/>
  <c r="F83" i="17"/>
  <c r="C169" i="22" s="1"/>
  <c r="Q81" i="17"/>
  <c r="O81"/>
  <c r="N81"/>
  <c r="M81"/>
  <c r="K81"/>
  <c r="J81"/>
  <c r="I81"/>
  <c r="G81"/>
  <c r="F81"/>
  <c r="S80"/>
  <c r="R80"/>
  <c r="T80" s="1"/>
  <c r="P80"/>
  <c r="L80"/>
  <c r="H80"/>
  <c r="S79"/>
  <c r="R79"/>
  <c r="P79"/>
  <c r="L79"/>
  <c r="H79"/>
  <c r="S78"/>
  <c r="R78"/>
  <c r="T78" s="1"/>
  <c r="P78"/>
  <c r="L78"/>
  <c r="H78"/>
  <c r="S77"/>
  <c r="R77"/>
  <c r="P77"/>
  <c r="L77"/>
  <c r="H77"/>
  <c r="S76"/>
  <c r="R76"/>
  <c r="P76"/>
  <c r="L76"/>
  <c r="H76"/>
  <c r="S75"/>
  <c r="R75"/>
  <c r="P75"/>
  <c r="L75"/>
  <c r="H75"/>
  <c r="S72"/>
  <c r="R72"/>
  <c r="P72"/>
  <c r="L72"/>
  <c r="H72"/>
  <c r="S71"/>
  <c r="R71"/>
  <c r="P71"/>
  <c r="L71"/>
  <c r="H71"/>
  <c r="S70"/>
  <c r="R70"/>
  <c r="T70" s="1"/>
  <c r="P70"/>
  <c r="L70"/>
  <c r="H70"/>
  <c r="S69"/>
  <c r="R69"/>
  <c r="P69"/>
  <c r="L69"/>
  <c r="H69"/>
  <c r="S68"/>
  <c r="R68"/>
  <c r="T68" s="1"/>
  <c r="P68"/>
  <c r="L68"/>
  <c r="H68"/>
  <c r="S65"/>
  <c r="R65"/>
  <c r="P65"/>
  <c r="L65"/>
  <c r="H65"/>
  <c r="S64"/>
  <c r="R64"/>
  <c r="T64" s="1"/>
  <c r="P64"/>
  <c r="L64"/>
  <c r="H64"/>
  <c r="S63"/>
  <c r="U63" s="1"/>
  <c r="R63"/>
  <c r="P63"/>
  <c r="L63"/>
  <c r="H63"/>
  <c r="S62"/>
  <c r="R62"/>
  <c r="P62"/>
  <c r="L62"/>
  <c r="H62"/>
  <c r="S59"/>
  <c r="U59" s="1"/>
  <c r="R59"/>
  <c r="P59"/>
  <c r="L59"/>
  <c r="H59"/>
  <c r="S58"/>
  <c r="R58"/>
  <c r="P58"/>
  <c r="L58"/>
  <c r="H58"/>
  <c r="S57"/>
  <c r="U57" s="1"/>
  <c r="R57"/>
  <c r="P57"/>
  <c r="L57"/>
  <c r="H57"/>
  <c r="S56"/>
  <c r="R56"/>
  <c r="P56"/>
  <c r="L56"/>
  <c r="H56"/>
  <c r="S55"/>
  <c r="R55"/>
  <c r="P55"/>
  <c r="P81" s="1"/>
  <c r="L55"/>
  <c r="H55"/>
  <c r="P54"/>
  <c r="L54"/>
  <c r="H54"/>
  <c r="Q53"/>
  <c r="O53"/>
  <c r="L168" i="22" s="1"/>
  <c r="L192" s="1"/>
  <c r="N53" i="17"/>
  <c r="K168" i="22" s="1"/>
  <c r="M53" i="17"/>
  <c r="K53"/>
  <c r="H168" i="22" s="1"/>
  <c r="H192" s="1"/>
  <c r="J53" i="17"/>
  <c r="G168" i="22" s="1"/>
  <c r="I53" i="17"/>
  <c r="G53"/>
  <c r="D168" i="22" s="1"/>
  <c r="F53" i="17"/>
  <c r="C168" i="22" s="1"/>
  <c r="Q51" i="17"/>
  <c r="Q143" s="1"/>
  <c r="O51"/>
  <c r="O143" s="1"/>
  <c r="N51"/>
  <c r="M51"/>
  <c r="M143" s="1"/>
  <c r="K51"/>
  <c r="J51"/>
  <c r="I51"/>
  <c r="I143" s="1"/>
  <c r="G51"/>
  <c r="F51"/>
  <c r="S50"/>
  <c r="U50" s="1"/>
  <c r="R50"/>
  <c r="P50"/>
  <c r="L50"/>
  <c r="H50"/>
  <c r="S49"/>
  <c r="R49"/>
  <c r="T49" s="1"/>
  <c r="P49"/>
  <c r="L49"/>
  <c r="H49"/>
  <c r="S46"/>
  <c r="R46"/>
  <c r="P46"/>
  <c r="L46"/>
  <c r="H46"/>
  <c r="S45"/>
  <c r="R45"/>
  <c r="T45" s="1"/>
  <c r="P45"/>
  <c r="L45"/>
  <c r="H45"/>
  <c r="S44"/>
  <c r="U44" s="1"/>
  <c r="R44"/>
  <c r="P44"/>
  <c r="L44"/>
  <c r="H44"/>
  <c r="S43"/>
  <c r="R43"/>
  <c r="T43" s="1"/>
  <c r="P43"/>
  <c r="L43"/>
  <c r="H43"/>
  <c r="S42"/>
  <c r="U42" s="1"/>
  <c r="R42"/>
  <c r="P42"/>
  <c r="L42"/>
  <c r="H42"/>
  <c r="S41"/>
  <c r="R41"/>
  <c r="T41" s="1"/>
  <c r="P41"/>
  <c r="L41"/>
  <c r="H41"/>
  <c r="S40"/>
  <c r="U40" s="1"/>
  <c r="R40"/>
  <c r="P40"/>
  <c r="L40"/>
  <c r="H40"/>
  <c r="S39"/>
  <c r="R39"/>
  <c r="T39" s="1"/>
  <c r="P39"/>
  <c r="L39"/>
  <c r="H39"/>
  <c r="S38"/>
  <c r="R38"/>
  <c r="P38"/>
  <c r="L38"/>
  <c r="H38"/>
  <c r="S37"/>
  <c r="R37"/>
  <c r="P37"/>
  <c r="L37"/>
  <c r="H37"/>
  <c r="S36"/>
  <c r="U36" s="1"/>
  <c r="R36"/>
  <c r="P36"/>
  <c r="L36"/>
  <c r="H36"/>
  <c r="S35"/>
  <c r="R35"/>
  <c r="P35"/>
  <c r="L35"/>
  <c r="H35"/>
  <c r="S32"/>
  <c r="U32" s="1"/>
  <c r="R32"/>
  <c r="P32"/>
  <c r="L32"/>
  <c r="H32"/>
  <c r="S31"/>
  <c r="R31"/>
  <c r="T31" s="1"/>
  <c r="P31"/>
  <c r="L31"/>
  <c r="H31"/>
  <c r="S30"/>
  <c r="U30" s="1"/>
  <c r="R30"/>
  <c r="P30"/>
  <c r="L30"/>
  <c r="H30"/>
  <c r="S29"/>
  <c r="R29"/>
  <c r="P29"/>
  <c r="L29"/>
  <c r="H29"/>
  <c r="S26"/>
  <c r="R26"/>
  <c r="P26"/>
  <c r="L26"/>
  <c r="H26"/>
  <c r="S25"/>
  <c r="R25"/>
  <c r="P25"/>
  <c r="L25"/>
  <c r="H25"/>
  <c r="S24"/>
  <c r="U24" s="1"/>
  <c r="R24"/>
  <c r="P24"/>
  <c r="L24"/>
  <c r="H24"/>
  <c r="S21"/>
  <c r="R21"/>
  <c r="T21" s="1"/>
  <c r="P21"/>
  <c r="L21"/>
  <c r="H21"/>
  <c r="S20"/>
  <c r="U20" s="1"/>
  <c r="R20"/>
  <c r="P20"/>
  <c r="L20"/>
  <c r="H20"/>
  <c r="S17"/>
  <c r="R17"/>
  <c r="T17" s="1"/>
  <c r="P17"/>
  <c r="L17"/>
  <c r="H17"/>
  <c r="S16"/>
  <c r="U16" s="1"/>
  <c r="R16"/>
  <c r="P16"/>
  <c r="L16"/>
  <c r="H16"/>
  <c r="S15"/>
  <c r="R15"/>
  <c r="T15" s="1"/>
  <c r="P15"/>
  <c r="L15"/>
  <c r="H15"/>
  <c r="S14"/>
  <c r="R14"/>
  <c r="P14"/>
  <c r="L14"/>
  <c r="H14"/>
  <c r="S13"/>
  <c r="R13"/>
  <c r="P13"/>
  <c r="L13"/>
  <c r="L51" s="1"/>
  <c r="H13"/>
  <c r="P12"/>
  <c r="L12"/>
  <c r="H12"/>
  <c r="Q11"/>
  <c r="O11"/>
  <c r="N11"/>
  <c r="M11"/>
  <c r="K11"/>
  <c r="J11"/>
  <c r="I11"/>
  <c r="G11"/>
  <c r="F11"/>
  <c r="P9"/>
  <c r="L9"/>
  <c r="H9"/>
  <c r="S8"/>
  <c r="R8"/>
  <c r="P8"/>
  <c r="L8"/>
  <c r="H8"/>
  <c r="Q137" i="16"/>
  <c r="O137"/>
  <c r="N137"/>
  <c r="M137"/>
  <c r="K137"/>
  <c r="J137"/>
  <c r="I137"/>
  <c r="G137"/>
  <c r="F137"/>
  <c r="S136"/>
  <c r="U136" s="1"/>
  <c r="R136"/>
  <c r="T136" s="1"/>
  <c r="P136"/>
  <c r="L136"/>
  <c r="H136"/>
  <c r="S135"/>
  <c r="U135" s="1"/>
  <c r="R135"/>
  <c r="T135" s="1"/>
  <c r="P135"/>
  <c r="L135"/>
  <c r="H135"/>
  <c r="S134"/>
  <c r="U134" s="1"/>
  <c r="R134"/>
  <c r="T134" s="1"/>
  <c r="P134"/>
  <c r="L134"/>
  <c r="H134"/>
  <c r="S131"/>
  <c r="U131" s="1"/>
  <c r="R131"/>
  <c r="P131"/>
  <c r="L131"/>
  <c r="H131"/>
  <c r="S130"/>
  <c r="R130"/>
  <c r="P130"/>
  <c r="L130"/>
  <c r="H130"/>
  <c r="S129"/>
  <c r="R129"/>
  <c r="T129" s="1"/>
  <c r="P129"/>
  <c r="L129"/>
  <c r="L106" s="1"/>
  <c r="H129"/>
  <c r="S126"/>
  <c r="U126" s="1"/>
  <c r="R126"/>
  <c r="T126" s="1"/>
  <c r="P126"/>
  <c r="L126"/>
  <c r="H126"/>
  <c r="S125"/>
  <c r="U125" s="1"/>
  <c r="R125"/>
  <c r="T125" s="1"/>
  <c r="P125"/>
  <c r="L125"/>
  <c r="H125"/>
  <c r="S124"/>
  <c r="U124" s="1"/>
  <c r="R124"/>
  <c r="T124" s="1"/>
  <c r="P124"/>
  <c r="L124"/>
  <c r="H124"/>
  <c r="S121"/>
  <c r="R121"/>
  <c r="T121" s="1"/>
  <c r="P121"/>
  <c r="L121"/>
  <c r="H121"/>
  <c r="S120"/>
  <c r="U120" s="1"/>
  <c r="R120"/>
  <c r="P120"/>
  <c r="L120"/>
  <c r="H120"/>
  <c r="S119"/>
  <c r="R119"/>
  <c r="T119" s="1"/>
  <c r="P119"/>
  <c r="L119"/>
  <c r="H119"/>
  <c r="S118"/>
  <c r="U118" s="1"/>
  <c r="R118"/>
  <c r="P118"/>
  <c r="L118"/>
  <c r="H118"/>
  <c r="S115"/>
  <c r="U115" s="1"/>
  <c r="R115"/>
  <c r="P115"/>
  <c r="L115"/>
  <c r="H115"/>
  <c r="S114"/>
  <c r="R114"/>
  <c r="T114" s="1"/>
  <c r="P114"/>
  <c r="L114"/>
  <c r="H114"/>
  <c r="S113"/>
  <c r="U113" s="1"/>
  <c r="R113"/>
  <c r="T113" s="1"/>
  <c r="P113"/>
  <c r="L113"/>
  <c r="H113"/>
  <c r="S112"/>
  <c r="U112" s="1"/>
  <c r="R112"/>
  <c r="T112" s="1"/>
  <c r="P112"/>
  <c r="L112"/>
  <c r="H112"/>
  <c r="S111"/>
  <c r="U111" s="1"/>
  <c r="R111"/>
  <c r="T111" s="1"/>
  <c r="P111"/>
  <c r="L111"/>
  <c r="H111"/>
  <c r="S110"/>
  <c r="U110" s="1"/>
  <c r="R110"/>
  <c r="T110" s="1"/>
  <c r="P110"/>
  <c r="L110"/>
  <c r="H110"/>
  <c r="S109"/>
  <c r="U109" s="1"/>
  <c r="R109"/>
  <c r="P109"/>
  <c r="L109"/>
  <c r="H109"/>
  <c r="S108"/>
  <c r="R108"/>
  <c r="P108"/>
  <c r="P137" s="1"/>
  <c r="L108"/>
  <c r="H108"/>
  <c r="P107"/>
  <c r="L107"/>
  <c r="H107"/>
  <c r="Q106"/>
  <c r="P106"/>
  <c r="O106"/>
  <c r="L158" i="12" s="1"/>
  <c r="N106" i="16"/>
  <c r="K158" i="12" s="1"/>
  <c r="M106" i="16"/>
  <c r="K106"/>
  <c r="H158" i="12" s="1"/>
  <c r="J106" i="16"/>
  <c r="I106"/>
  <c r="G106"/>
  <c r="F106"/>
  <c r="Q104"/>
  <c r="O104"/>
  <c r="N104"/>
  <c r="M104"/>
  <c r="K104"/>
  <c r="J104"/>
  <c r="I104"/>
  <c r="G104"/>
  <c r="F104"/>
  <c r="S103"/>
  <c r="U103" s="1"/>
  <c r="R103"/>
  <c r="T103" s="1"/>
  <c r="P103"/>
  <c r="L103"/>
  <c r="H103"/>
  <c r="S102"/>
  <c r="R102"/>
  <c r="P102"/>
  <c r="L102"/>
  <c r="H102"/>
  <c r="S101"/>
  <c r="R101"/>
  <c r="P101"/>
  <c r="L101"/>
  <c r="H101"/>
  <c r="S98"/>
  <c r="U98" s="1"/>
  <c r="R98"/>
  <c r="P98"/>
  <c r="L98"/>
  <c r="H98"/>
  <c r="S97"/>
  <c r="R97"/>
  <c r="T97" s="1"/>
  <c r="P97"/>
  <c r="L97"/>
  <c r="H97"/>
  <c r="S96"/>
  <c r="U96" s="1"/>
  <c r="R96"/>
  <c r="T96" s="1"/>
  <c r="P96"/>
  <c r="L96"/>
  <c r="H96"/>
  <c r="S95"/>
  <c r="U95" s="1"/>
  <c r="R95"/>
  <c r="T95" s="1"/>
  <c r="P95"/>
  <c r="L95"/>
  <c r="H95"/>
  <c r="S94"/>
  <c r="U94" s="1"/>
  <c r="R94"/>
  <c r="P94"/>
  <c r="L94"/>
  <c r="H94"/>
  <c r="S93"/>
  <c r="R93"/>
  <c r="T93" s="1"/>
  <c r="P93"/>
  <c r="L93"/>
  <c r="H93"/>
  <c r="S92"/>
  <c r="U92" s="1"/>
  <c r="R92"/>
  <c r="P92"/>
  <c r="L92"/>
  <c r="H92"/>
  <c r="S89"/>
  <c r="U89" s="1"/>
  <c r="R89"/>
  <c r="T89" s="1"/>
  <c r="P89"/>
  <c r="L89"/>
  <c r="H89"/>
  <c r="S88"/>
  <c r="R88"/>
  <c r="T88" s="1"/>
  <c r="P88"/>
  <c r="L88"/>
  <c r="H88"/>
  <c r="S87"/>
  <c r="R87"/>
  <c r="T87" s="1"/>
  <c r="P87"/>
  <c r="L87"/>
  <c r="H87"/>
  <c r="S86"/>
  <c r="R86"/>
  <c r="T86" s="1"/>
  <c r="P86"/>
  <c r="L86"/>
  <c r="H86"/>
  <c r="S85"/>
  <c r="R85"/>
  <c r="P85"/>
  <c r="P104" s="1"/>
  <c r="L85"/>
  <c r="H85"/>
  <c r="P84"/>
  <c r="L84"/>
  <c r="H84"/>
  <c r="Q83"/>
  <c r="P83"/>
  <c r="O83"/>
  <c r="L157" i="12" s="1"/>
  <c r="N83" i="16"/>
  <c r="K157" i="12" s="1"/>
  <c r="M83" i="16"/>
  <c r="K83"/>
  <c r="H157" i="12" s="1"/>
  <c r="J83" i="16"/>
  <c r="I83"/>
  <c r="G83"/>
  <c r="F83"/>
  <c r="Q81"/>
  <c r="O81"/>
  <c r="N81"/>
  <c r="M81"/>
  <c r="K81"/>
  <c r="J81"/>
  <c r="I81"/>
  <c r="G81"/>
  <c r="F81"/>
  <c r="S80"/>
  <c r="U80" s="1"/>
  <c r="R80"/>
  <c r="T80" s="1"/>
  <c r="P80"/>
  <c r="L80"/>
  <c r="H80"/>
  <c r="S79"/>
  <c r="U79" s="1"/>
  <c r="R79"/>
  <c r="T79" s="1"/>
  <c r="P79"/>
  <c r="L79"/>
  <c r="H79"/>
  <c r="S78"/>
  <c r="R78"/>
  <c r="T78" s="1"/>
  <c r="P78"/>
  <c r="L78"/>
  <c r="H78"/>
  <c r="S77"/>
  <c r="U77" s="1"/>
  <c r="R77"/>
  <c r="T77" s="1"/>
  <c r="P77"/>
  <c r="L77"/>
  <c r="H77"/>
  <c r="S76"/>
  <c r="R76"/>
  <c r="P76"/>
  <c r="L76"/>
  <c r="H76"/>
  <c r="S75"/>
  <c r="U75" s="1"/>
  <c r="R75"/>
  <c r="P75"/>
  <c r="L75"/>
  <c r="H75"/>
  <c r="S72"/>
  <c r="R72"/>
  <c r="P72"/>
  <c r="L72"/>
  <c r="H72"/>
  <c r="S71"/>
  <c r="R71"/>
  <c r="T71" s="1"/>
  <c r="P71"/>
  <c r="L71"/>
  <c r="H71"/>
  <c r="S70"/>
  <c r="U70" s="1"/>
  <c r="R70"/>
  <c r="P70"/>
  <c r="L70"/>
  <c r="H70"/>
  <c r="S69"/>
  <c r="U69" s="1"/>
  <c r="R69"/>
  <c r="T69" s="1"/>
  <c r="P69"/>
  <c r="L69"/>
  <c r="H69"/>
  <c r="S68"/>
  <c r="U68" s="1"/>
  <c r="R68"/>
  <c r="T68" s="1"/>
  <c r="P68"/>
  <c r="L68"/>
  <c r="H68"/>
  <c r="S65"/>
  <c r="R65"/>
  <c r="T65" s="1"/>
  <c r="P65"/>
  <c r="L65"/>
  <c r="H65"/>
  <c r="S64"/>
  <c r="R64"/>
  <c r="T64" s="1"/>
  <c r="P64"/>
  <c r="L64"/>
  <c r="H64"/>
  <c r="S63"/>
  <c r="U63" s="1"/>
  <c r="R63"/>
  <c r="T63" s="1"/>
  <c r="P63"/>
  <c r="P53" s="1"/>
  <c r="L63"/>
  <c r="H63"/>
  <c r="S62"/>
  <c r="R62"/>
  <c r="P62"/>
  <c r="L62"/>
  <c r="H62"/>
  <c r="S59"/>
  <c r="U59" s="1"/>
  <c r="R59"/>
  <c r="T59" s="1"/>
  <c r="P59"/>
  <c r="L59"/>
  <c r="H59"/>
  <c r="S58"/>
  <c r="U58" s="1"/>
  <c r="R58"/>
  <c r="T58" s="1"/>
  <c r="P58"/>
  <c r="L58"/>
  <c r="H58"/>
  <c r="S57"/>
  <c r="U57" s="1"/>
  <c r="R57"/>
  <c r="P57"/>
  <c r="L57"/>
  <c r="H57"/>
  <c r="S56"/>
  <c r="U56" s="1"/>
  <c r="R56"/>
  <c r="P56"/>
  <c r="L56"/>
  <c r="H56"/>
  <c r="S55"/>
  <c r="R55"/>
  <c r="T55" s="1"/>
  <c r="P55"/>
  <c r="L55"/>
  <c r="H55"/>
  <c r="P54"/>
  <c r="L54"/>
  <c r="H54"/>
  <c r="Q53"/>
  <c r="O53"/>
  <c r="L156" i="12" s="1"/>
  <c r="N53" i="16"/>
  <c r="M53"/>
  <c r="K53"/>
  <c r="H156" i="12" s="1"/>
  <c r="J53" i="16"/>
  <c r="G156" i="12" s="1"/>
  <c r="I53" i="16"/>
  <c r="G53"/>
  <c r="F53"/>
  <c r="Q51"/>
  <c r="Q143" s="1"/>
  <c r="O51"/>
  <c r="N51"/>
  <c r="N143" s="1"/>
  <c r="M51"/>
  <c r="M143" s="1"/>
  <c r="K51"/>
  <c r="K143" s="1"/>
  <c r="J51"/>
  <c r="I51"/>
  <c r="I143" s="1"/>
  <c r="G51"/>
  <c r="F51"/>
  <c r="S50"/>
  <c r="R50"/>
  <c r="T50" s="1"/>
  <c r="P50"/>
  <c r="L50"/>
  <c r="H50"/>
  <c r="S49"/>
  <c r="U49" s="1"/>
  <c r="R49"/>
  <c r="T49" s="1"/>
  <c r="P49"/>
  <c r="L49"/>
  <c r="H49"/>
  <c r="S46"/>
  <c r="U46" s="1"/>
  <c r="R46"/>
  <c r="P46"/>
  <c r="L46"/>
  <c r="H46"/>
  <c r="S45"/>
  <c r="U45" s="1"/>
  <c r="R45"/>
  <c r="T45" s="1"/>
  <c r="P45"/>
  <c r="L45"/>
  <c r="H45"/>
  <c r="S44"/>
  <c r="R44"/>
  <c r="P44"/>
  <c r="L44"/>
  <c r="H44"/>
  <c r="S43"/>
  <c r="U43" s="1"/>
  <c r="R43"/>
  <c r="P43"/>
  <c r="L43"/>
  <c r="H43"/>
  <c r="S42"/>
  <c r="U42" s="1"/>
  <c r="R42"/>
  <c r="P42"/>
  <c r="L42"/>
  <c r="H42"/>
  <c r="S41"/>
  <c r="R41"/>
  <c r="P41"/>
  <c r="L41"/>
  <c r="H41"/>
  <c r="S40"/>
  <c r="R40"/>
  <c r="P40"/>
  <c r="L40"/>
  <c r="H40"/>
  <c r="S39"/>
  <c r="R39"/>
  <c r="P39"/>
  <c r="L39"/>
  <c r="H39"/>
  <c r="S38"/>
  <c r="R38"/>
  <c r="P38"/>
  <c r="L38"/>
  <c r="H38"/>
  <c r="S37"/>
  <c r="U37" s="1"/>
  <c r="R37"/>
  <c r="T37" s="1"/>
  <c r="P37"/>
  <c r="L37"/>
  <c r="H37"/>
  <c r="S36"/>
  <c r="R36"/>
  <c r="P36"/>
  <c r="L36"/>
  <c r="H36"/>
  <c r="S35"/>
  <c r="U35" s="1"/>
  <c r="R35"/>
  <c r="T35" s="1"/>
  <c r="P35"/>
  <c r="L35"/>
  <c r="H35"/>
  <c r="S32"/>
  <c r="R32"/>
  <c r="T32" s="1"/>
  <c r="P32"/>
  <c r="L32"/>
  <c r="H32"/>
  <c r="S31"/>
  <c r="R31"/>
  <c r="P31"/>
  <c r="L31"/>
  <c r="H31"/>
  <c r="S30"/>
  <c r="R30"/>
  <c r="T30" s="1"/>
  <c r="P30"/>
  <c r="L30"/>
  <c r="H30"/>
  <c r="S29"/>
  <c r="U29" s="1"/>
  <c r="R29"/>
  <c r="P29"/>
  <c r="L29"/>
  <c r="H29"/>
  <c r="S26"/>
  <c r="R26"/>
  <c r="P26"/>
  <c r="L26"/>
  <c r="H26"/>
  <c r="S25"/>
  <c r="R25"/>
  <c r="P25"/>
  <c r="L25"/>
  <c r="H25"/>
  <c r="S24"/>
  <c r="U24" s="1"/>
  <c r="R24"/>
  <c r="P24"/>
  <c r="L24"/>
  <c r="H24"/>
  <c r="S21"/>
  <c r="U21" s="1"/>
  <c r="R21"/>
  <c r="T21" s="1"/>
  <c r="P21"/>
  <c r="L21"/>
  <c r="H21"/>
  <c r="S20"/>
  <c r="R20"/>
  <c r="T20" s="1"/>
  <c r="P20"/>
  <c r="L20"/>
  <c r="H20"/>
  <c r="S17"/>
  <c r="R17"/>
  <c r="T17" s="1"/>
  <c r="P17"/>
  <c r="L17"/>
  <c r="H17"/>
  <c r="S16"/>
  <c r="U16" s="1"/>
  <c r="R16"/>
  <c r="P16"/>
  <c r="L16"/>
  <c r="H16"/>
  <c r="S15"/>
  <c r="U15" s="1"/>
  <c r="R15"/>
  <c r="P15"/>
  <c r="L15"/>
  <c r="H15"/>
  <c r="S14"/>
  <c r="R14"/>
  <c r="P14"/>
  <c r="L14"/>
  <c r="H14"/>
  <c r="S13"/>
  <c r="R13"/>
  <c r="P13"/>
  <c r="L13"/>
  <c r="L51" s="1"/>
  <c r="H13"/>
  <c r="P12"/>
  <c r="L12"/>
  <c r="H12"/>
  <c r="Q11"/>
  <c r="O11"/>
  <c r="N11"/>
  <c r="M11"/>
  <c r="K11"/>
  <c r="J11"/>
  <c r="I11"/>
  <c r="G11"/>
  <c r="F11"/>
  <c r="P9"/>
  <c r="L9"/>
  <c r="H9"/>
  <c r="S8"/>
  <c r="R8"/>
  <c r="P8"/>
  <c r="L8"/>
  <c r="H8"/>
  <c r="Q137" i="15"/>
  <c r="O137"/>
  <c r="N137"/>
  <c r="M137"/>
  <c r="K137"/>
  <c r="J137"/>
  <c r="I137"/>
  <c r="G137"/>
  <c r="S136"/>
  <c r="R136"/>
  <c r="T136" s="1"/>
  <c r="P136"/>
  <c r="L136"/>
  <c r="H136"/>
  <c r="S135"/>
  <c r="U135" s="1"/>
  <c r="R135"/>
  <c r="P135"/>
  <c r="L135"/>
  <c r="H135"/>
  <c r="S134"/>
  <c r="R134"/>
  <c r="P134"/>
  <c r="L134"/>
  <c r="H134"/>
  <c r="S131"/>
  <c r="U131" s="1"/>
  <c r="R131"/>
  <c r="P131"/>
  <c r="L131"/>
  <c r="H131"/>
  <c r="S130"/>
  <c r="R130"/>
  <c r="P130"/>
  <c r="L130"/>
  <c r="H130"/>
  <c r="S129"/>
  <c r="U129" s="1"/>
  <c r="R129"/>
  <c r="P129"/>
  <c r="L129"/>
  <c r="H129"/>
  <c r="S126"/>
  <c r="R126"/>
  <c r="P126"/>
  <c r="L126"/>
  <c r="H126"/>
  <c r="S125"/>
  <c r="U125" s="1"/>
  <c r="R125"/>
  <c r="P125"/>
  <c r="L125"/>
  <c r="H125"/>
  <c r="S124"/>
  <c r="R124"/>
  <c r="T124" s="1"/>
  <c r="P124"/>
  <c r="L124"/>
  <c r="H124"/>
  <c r="S121"/>
  <c r="R121"/>
  <c r="P121"/>
  <c r="L121"/>
  <c r="H121"/>
  <c r="S120"/>
  <c r="R120"/>
  <c r="P120"/>
  <c r="L120"/>
  <c r="H120"/>
  <c r="S119"/>
  <c r="R119"/>
  <c r="P119"/>
  <c r="L119"/>
  <c r="H119"/>
  <c r="S118"/>
  <c r="R118"/>
  <c r="P118"/>
  <c r="L118"/>
  <c r="H118"/>
  <c r="S115"/>
  <c r="U115" s="1"/>
  <c r="R115"/>
  <c r="P115"/>
  <c r="L115"/>
  <c r="H115"/>
  <c r="S114"/>
  <c r="R114"/>
  <c r="T114" s="1"/>
  <c r="P114"/>
  <c r="L114"/>
  <c r="H114"/>
  <c r="S113"/>
  <c r="U113" s="1"/>
  <c r="R113"/>
  <c r="P113"/>
  <c r="L113"/>
  <c r="H113"/>
  <c r="S112"/>
  <c r="R112"/>
  <c r="P112"/>
  <c r="L112"/>
  <c r="H112"/>
  <c r="S111"/>
  <c r="U111" s="1"/>
  <c r="R111"/>
  <c r="P111"/>
  <c r="L111"/>
  <c r="H111"/>
  <c r="S110"/>
  <c r="R110"/>
  <c r="P110"/>
  <c r="L110"/>
  <c r="H110"/>
  <c r="S109"/>
  <c r="U109" s="1"/>
  <c r="R109"/>
  <c r="P109"/>
  <c r="L109"/>
  <c r="H109"/>
  <c r="S108"/>
  <c r="R108"/>
  <c r="P108"/>
  <c r="L108"/>
  <c r="H108"/>
  <c r="P107"/>
  <c r="L107"/>
  <c r="H107"/>
  <c r="Q106"/>
  <c r="O106"/>
  <c r="L134" i="12" s="1"/>
  <c r="N106" i="15"/>
  <c r="K134" i="12" s="1"/>
  <c r="M106" i="15"/>
  <c r="K106"/>
  <c r="J106"/>
  <c r="I106"/>
  <c r="G106"/>
  <c r="Q104"/>
  <c r="O104"/>
  <c r="N104"/>
  <c r="M104"/>
  <c r="K104"/>
  <c r="J104"/>
  <c r="I104"/>
  <c r="G104"/>
  <c r="F104"/>
  <c r="S103"/>
  <c r="R103"/>
  <c r="P103"/>
  <c r="L103"/>
  <c r="H103"/>
  <c r="S102"/>
  <c r="R102"/>
  <c r="P102"/>
  <c r="L102"/>
  <c r="H102"/>
  <c r="S101"/>
  <c r="R101"/>
  <c r="P101"/>
  <c r="L101"/>
  <c r="H101"/>
  <c r="S98"/>
  <c r="R98"/>
  <c r="P98"/>
  <c r="L98"/>
  <c r="H98"/>
  <c r="S97"/>
  <c r="R97"/>
  <c r="P97"/>
  <c r="L97"/>
  <c r="H97"/>
  <c r="S96"/>
  <c r="R96"/>
  <c r="P96"/>
  <c r="L96"/>
  <c r="H96"/>
  <c r="S95"/>
  <c r="R95"/>
  <c r="P95"/>
  <c r="L95"/>
  <c r="H95"/>
  <c r="S94"/>
  <c r="R94"/>
  <c r="P94"/>
  <c r="L94"/>
  <c r="H94"/>
  <c r="S93"/>
  <c r="R93"/>
  <c r="P93"/>
  <c r="L93"/>
  <c r="H93"/>
  <c r="S92"/>
  <c r="R92"/>
  <c r="P92"/>
  <c r="L92"/>
  <c r="H92"/>
  <c r="S89"/>
  <c r="R89"/>
  <c r="P89"/>
  <c r="L89"/>
  <c r="H89"/>
  <c r="S88"/>
  <c r="R88"/>
  <c r="P88"/>
  <c r="L88"/>
  <c r="H88"/>
  <c r="S87"/>
  <c r="R87"/>
  <c r="P87"/>
  <c r="L87"/>
  <c r="H87"/>
  <c r="S86"/>
  <c r="R86"/>
  <c r="P86"/>
  <c r="P83" s="1"/>
  <c r="L86"/>
  <c r="H86"/>
  <c r="S85"/>
  <c r="R85"/>
  <c r="P85"/>
  <c r="L85"/>
  <c r="H85"/>
  <c r="P84"/>
  <c r="L84"/>
  <c r="H84"/>
  <c r="Q83"/>
  <c r="O83"/>
  <c r="L133" i="12" s="1"/>
  <c r="N83" i="15"/>
  <c r="K133" i="12" s="1"/>
  <c r="M83" i="15"/>
  <c r="K83"/>
  <c r="H133" i="12" s="1"/>
  <c r="J83" i="15"/>
  <c r="I83"/>
  <c r="G83"/>
  <c r="D133" i="12" s="1"/>
  <c r="F83" i="15"/>
  <c r="C133" i="12" s="1"/>
  <c r="Q81" i="15"/>
  <c r="O81"/>
  <c r="N81"/>
  <c r="M81"/>
  <c r="K81"/>
  <c r="J81"/>
  <c r="I81"/>
  <c r="G81"/>
  <c r="F81"/>
  <c r="S80"/>
  <c r="R80"/>
  <c r="P80"/>
  <c r="L80"/>
  <c r="H80"/>
  <c r="S79"/>
  <c r="R79"/>
  <c r="P79"/>
  <c r="L79"/>
  <c r="H79"/>
  <c r="S78"/>
  <c r="R78"/>
  <c r="P78"/>
  <c r="L78"/>
  <c r="H78"/>
  <c r="S77"/>
  <c r="R77"/>
  <c r="P77"/>
  <c r="L77"/>
  <c r="H77"/>
  <c r="S76"/>
  <c r="R76"/>
  <c r="P76"/>
  <c r="L76"/>
  <c r="H76"/>
  <c r="S75"/>
  <c r="R75"/>
  <c r="P75"/>
  <c r="L75"/>
  <c r="H75"/>
  <c r="S72"/>
  <c r="R72"/>
  <c r="P72"/>
  <c r="L72"/>
  <c r="H72"/>
  <c r="S71"/>
  <c r="R71"/>
  <c r="P71"/>
  <c r="L71"/>
  <c r="H71"/>
  <c r="S70"/>
  <c r="R70"/>
  <c r="P70"/>
  <c r="L70"/>
  <c r="H70"/>
  <c r="S69"/>
  <c r="R69"/>
  <c r="P69"/>
  <c r="L69"/>
  <c r="H69"/>
  <c r="S68"/>
  <c r="R68"/>
  <c r="P68"/>
  <c r="L68"/>
  <c r="H68"/>
  <c r="S65"/>
  <c r="R65"/>
  <c r="P65"/>
  <c r="L65"/>
  <c r="H65"/>
  <c r="S64"/>
  <c r="R64"/>
  <c r="P64"/>
  <c r="L64"/>
  <c r="H64"/>
  <c r="S63"/>
  <c r="R63"/>
  <c r="P63"/>
  <c r="L63"/>
  <c r="H63"/>
  <c r="S62"/>
  <c r="R62"/>
  <c r="P62"/>
  <c r="L62"/>
  <c r="H62"/>
  <c r="S59"/>
  <c r="R59"/>
  <c r="P59"/>
  <c r="L59"/>
  <c r="H59"/>
  <c r="S58"/>
  <c r="R58"/>
  <c r="P58"/>
  <c r="L58"/>
  <c r="H58"/>
  <c r="S57"/>
  <c r="R57"/>
  <c r="R53" s="1"/>
  <c r="P57"/>
  <c r="L57"/>
  <c r="H57"/>
  <c r="S56"/>
  <c r="R56"/>
  <c r="P56"/>
  <c r="L56"/>
  <c r="H56"/>
  <c r="S55"/>
  <c r="R55"/>
  <c r="P55"/>
  <c r="L55"/>
  <c r="H55"/>
  <c r="P54"/>
  <c r="L54"/>
  <c r="H54"/>
  <c r="Q53"/>
  <c r="P53"/>
  <c r="O53"/>
  <c r="L132" i="12" s="1"/>
  <c r="N53" i="15"/>
  <c r="K132" i="12" s="1"/>
  <c r="M53" i="15"/>
  <c r="L53"/>
  <c r="K53"/>
  <c r="J53"/>
  <c r="I53"/>
  <c r="G53"/>
  <c r="F53"/>
  <c r="Q51"/>
  <c r="Q143" s="1"/>
  <c r="O51"/>
  <c r="O143" s="1"/>
  <c r="N51"/>
  <c r="M51"/>
  <c r="M143" s="1"/>
  <c r="K51"/>
  <c r="K143" s="1"/>
  <c r="J51"/>
  <c r="J143" s="1"/>
  <c r="I51"/>
  <c r="I143" s="1"/>
  <c r="G51"/>
  <c r="F51"/>
  <c r="S50"/>
  <c r="R50"/>
  <c r="P50"/>
  <c r="L50"/>
  <c r="H50"/>
  <c r="S49"/>
  <c r="R49"/>
  <c r="P49"/>
  <c r="L49"/>
  <c r="H49"/>
  <c r="S46"/>
  <c r="R46"/>
  <c r="P46"/>
  <c r="L46"/>
  <c r="H46"/>
  <c r="S45"/>
  <c r="R45"/>
  <c r="P45"/>
  <c r="L45"/>
  <c r="H45"/>
  <c r="S44"/>
  <c r="R44"/>
  <c r="P44"/>
  <c r="L44"/>
  <c r="H44"/>
  <c r="S43"/>
  <c r="R43"/>
  <c r="P43"/>
  <c r="L43"/>
  <c r="H43"/>
  <c r="S42"/>
  <c r="R42"/>
  <c r="P42"/>
  <c r="L42"/>
  <c r="H42"/>
  <c r="S41"/>
  <c r="U41" s="1"/>
  <c r="R41"/>
  <c r="P41"/>
  <c r="L41"/>
  <c r="H41"/>
  <c r="S40"/>
  <c r="R40"/>
  <c r="P40"/>
  <c r="L40"/>
  <c r="H40"/>
  <c r="S39"/>
  <c r="R39"/>
  <c r="P39"/>
  <c r="L39"/>
  <c r="H39"/>
  <c r="S38"/>
  <c r="R38"/>
  <c r="P38"/>
  <c r="L38"/>
  <c r="H38"/>
  <c r="S37"/>
  <c r="R37"/>
  <c r="P37"/>
  <c r="L37"/>
  <c r="H37"/>
  <c r="S36"/>
  <c r="R36"/>
  <c r="P36"/>
  <c r="L36"/>
  <c r="H36"/>
  <c r="S35"/>
  <c r="R35"/>
  <c r="P35"/>
  <c r="L35"/>
  <c r="H35"/>
  <c r="S32"/>
  <c r="R32"/>
  <c r="P32"/>
  <c r="L32"/>
  <c r="H32"/>
  <c r="S31"/>
  <c r="R31"/>
  <c r="P31"/>
  <c r="L31"/>
  <c r="H31"/>
  <c r="S30"/>
  <c r="R30"/>
  <c r="P30"/>
  <c r="L30"/>
  <c r="H30"/>
  <c r="S29"/>
  <c r="R29"/>
  <c r="P29"/>
  <c r="L29"/>
  <c r="H29"/>
  <c r="S26"/>
  <c r="R26"/>
  <c r="P26"/>
  <c r="L26"/>
  <c r="H26"/>
  <c r="S25"/>
  <c r="R25"/>
  <c r="P25"/>
  <c r="L25"/>
  <c r="H25"/>
  <c r="S24"/>
  <c r="R24"/>
  <c r="P24"/>
  <c r="L24"/>
  <c r="H24"/>
  <c r="S21"/>
  <c r="U21" s="1"/>
  <c r="R21"/>
  <c r="P21"/>
  <c r="L21"/>
  <c r="H21"/>
  <c r="S20"/>
  <c r="R20"/>
  <c r="P20"/>
  <c r="L20"/>
  <c r="H20"/>
  <c r="S17"/>
  <c r="R17"/>
  <c r="P17"/>
  <c r="L17"/>
  <c r="H17"/>
  <c r="S16"/>
  <c r="R16"/>
  <c r="P16"/>
  <c r="L16"/>
  <c r="H16"/>
  <c r="S15"/>
  <c r="U15" s="1"/>
  <c r="R15"/>
  <c r="P15"/>
  <c r="L15"/>
  <c r="H15"/>
  <c r="S14"/>
  <c r="R14"/>
  <c r="P14"/>
  <c r="L14"/>
  <c r="H14"/>
  <c r="S13"/>
  <c r="R13"/>
  <c r="P13"/>
  <c r="L13"/>
  <c r="H13"/>
  <c r="P12"/>
  <c r="L12"/>
  <c r="H12"/>
  <c r="Q11"/>
  <c r="O11"/>
  <c r="N11"/>
  <c r="M11"/>
  <c r="K11"/>
  <c r="J11"/>
  <c r="I11"/>
  <c r="G11"/>
  <c r="F11"/>
  <c r="P9"/>
  <c r="L9"/>
  <c r="H9"/>
  <c r="S8"/>
  <c r="R8"/>
  <c r="P8"/>
  <c r="L8"/>
  <c r="H8"/>
  <c r="Q137" i="14"/>
  <c r="O137"/>
  <c r="N137"/>
  <c r="M137"/>
  <c r="K137"/>
  <c r="J137"/>
  <c r="I137"/>
  <c r="G137"/>
  <c r="F137"/>
  <c r="S136"/>
  <c r="R136"/>
  <c r="P136"/>
  <c r="L136"/>
  <c r="H136"/>
  <c r="S135"/>
  <c r="R135"/>
  <c r="P135"/>
  <c r="L135"/>
  <c r="H135"/>
  <c r="S134"/>
  <c r="R134"/>
  <c r="P134"/>
  <c r="L134"/>
  <c r="H134"/>
  <c r="S131"/>
  <c r="R131"/>
  <c r="P131"/>
  <c r="L131"/>
  <c r="H131"/>
  <c r="S130"/>
  <c r="R130"/>
  <c r="P130"/>
  <c r="L130"/>
  <c r="H130"/>
  <c r="S129"/>
  <c r="R129"/>
  <c r="P129"/>
  <c r="L129"/>
  <c r="H129"/>
  <c r="S126"/>
  <c r="R126"/>
  <c r="P126"/>
  <c r="L126"/>
  <c r="H126"/>
  <c r="S125"/>
  <c r="R125"/>
  <c r="P125"/>
  <c r="L125"/>
  <c r="H125"/>
  <c r="S124"/>
  <c r="R124"/>
  <c r="P124"/>
  <c r="L124"/>
  <c r="H124"/>
  <c r="S121"/>
  <c r="R121"/>
  <c r="P121"/>
  <c r="L121"/>
  <c r="H121"/>
  <c r="S120"/>
  <c r="R120"/>
  <c r="P120"/>
  <c r="L120"/>
  <c r="H120"/>
  <c r="S119"/>
  <c r="R119"/>
  <c r="P119"/>
  <c r="L119"/>
  <c r="H119"/>
  <c r="F137" i="15" s="1"/>
  <c r="S118" i="14"/>
  <c r="R118"/>
  <c r="P118"/>
  <c r="L118"/>
  <c r="H118"/>
  <c r="S115"/>
  <c r="R115"/>
  <c r="P115"/>
  <c r="L115"/>
  <c r="H115"/>
  <c r="S114"/>
  <c r="R114"/>
  <c r="P114"/>
  <c r="L114"/>
  <c r="H114"/>
  <c r="S113"/>
  <c r="R113"/>
  <c r="P113"/>
  <c r="L113"/>
  <c r="H113"/>
  <c r="S112"/>
  <c r="R112"/>
  <c r="P112"/>
  <c r="L112"/>
  <c r="H112"/>
  <c r="S111"/>
  <c r="R111"/>
  <c r="P111"/>
  <c r="L111"/>
  <c r="H111"/>
  <c r="S110"/>
  <c r="R110"/>
  <c r="P110"/>
  <c r="L110"/>
  <c r="H110"/>
  <c r="S109"/>
  <c r="R109"/>
  <c r="P109"/>
  <c r="L109"/>
  <c r="H109"/>
  <c r="S108"/>
  <c r="R108"/>
  <c r="P108"/>
  <c r="L108"/>
  <c r="H108"/>
  <c r="P107"/>
  <c r="L107"/>
  <c r="H107"/>
  <c r="Q106"/>
  <c r="O106"/>
  <c r="L122" i="12" s="1"/>
  <c r="N106" i="14"/>
  <c r="K122" i="12" s="1"/>
  <c r="M106" i="14"/>
  <c r="K106"/>
  <c r="H122" i="12" s="1"/>
  <c r="J106" i="14"/>
  <c r="G122" i="12" s="1"/>
  <c r="I106" i="14"/>
  <c r="G106"/>
  <c r="D122" i="12" s="1"/>
  <c r="F106" i="14"/>
  <c r="C122" i="12" s="1"/>
  <c r="Q104" i="14"/>
  <c r="O104"/>
  <c r="N104"/>
  <c r="M104"/>
  <c r="K104"/>
  <c r="J104"/>
  <c r="I104"/>
  <c r="G104"/>
  <c r="F104"/>
  <c r="S103"/>
  <c r="R103"/>
  <c r="P103"/>
  <c r="L103"/>
  <c r="H103"/>
  <c r="S102"/>
  <c r="R102"/>
  <c r="P102"/>
  <c r="L102"/>
  <c r="H102"/>
  <c r="S101"/>
  <c r="R101"/>
  <c r="P101"/>
  <c r="L101"/>
  <c r="H101"/>
  <c r="S98"/>
  <c r="R98"/>
  <c r="P98"/>
  <c r="L98"/>
  <c r="H98"/>
  <c r="S97"/>
  <c r="R97"/>
  <c r="P97"/>
  <c r="L97"/>
  <c r="H97"/>
  <c r="S96"/>
  <c r="R96"/>
  <c r="P96"/>
  <c r="L96"/>
  <c r="H96"/>
  <c r="S95"/>
  <c r="R95"/>
  <c r="P95"/>
  <c r="L95"/>
  <c r="H95"/>
  <c r="S94"/>
  <c r="R94"/>
  <c r="P94"/>
  <c r="L94"/>
  <c r="H94"/>
  <c r="S93"/>
  <c r="R93"/>
  <c r="P93"/>
  <c r="L93"/>
  <c r="H93"/>
  <c r="S92"/>
  <c r="R92"/>
  <c r="P92"/>
  <c r="L92"/>
  <c r="H92"/>
  <c r="S89"/>
  <c r="R89"/>
  <c r="P89"/>
  <c r="L89"/>
  <c r="H89"/>
  <c r="S88"/>
  <c r="R88"/>
  <c r="P88"/>
  <c r="L88"/>
  <c r="H88"/>
  <c r="S87"/>
  <c r="R87"/>
  <c r="P87"/>
  <c r="L87"/>
  <c r="H87"/>
  <c r="S86"/>
  <c r="R86"/>
  <c r="P86"/>
  <c r="L86"/>
  <c r="H86"/>
  <c r="S85"/>
  <c r="R85"/>
  <c r="P85"/>
  <c r="L85"/>
  <c r="H85"/>
  <c r="P84"/>
  <c r="L84"/>
  <c r="H84"/>
  <c r="Q83"/>
  <c r="O83"/>
  <c r="L121" i="12" s="1"/>
  <c r="N83" i="14"/>
  <c r="K121" i="12" s="1"/>
  <c r="M83" i="14"/>
  <c r="K83"/>
  <c r="H121" i="12" s="1"/>
  <c r="J83" i="14"/>
  <c r="G121" i="12" s="1"/>
  <c r="I83" i="14"/>
  <c r="G83"/>
  <c r="D121" i="12" s="1"/>
  <c r="F83" i="14"/>
  <c r="C121" i="12" s="1"/>
  <c r="Q81" i="14"/>
  <c r="O81"/>
  <c r="N81"/>
  <c r="M81"/>
  <c r="K81"/>
  <c r="J81"/>
  <c r="I81"/>
  <c r="G81"/>
  <c r="F81"/>
  <c r="S80"/>
  <c r="R80"/>
  <c r="P80"/>
  <c r="L80"/>
  <c r="H80"/>
  <c r="S79"/>
  <c r="R79"/>
  <c r="P79"/>
  <c r="L79"/>
  <c r="H79"/>
  <c r="S78"/>
  <c r="R78"/>
  <c r="P78"/>
  <c r="L78"/>
  <c r="H78"/>
  <c r="S77"/>
  <c r="R77"/>
  <c r="P77"/>
  <c r="L77"/>
  <c r="H77"/>
  <c r="S76"/>
  <c r="R76"/>
  <c r="P76"/>
  <c r="L76"/>
  <c r="H76"/>
  <c r="S75"/>
  <c r="R75"/>
  <c r="P75"/>
  <c r="L75"/>
  <c r="H75"/>
  <c r="S72"/>
  <c r="R72"/>
  <c r="P72"/>
  <c r="L72"/>
  <c r="H72"/>
  <c r="S71"/>
  <c r="R71"/>
  <c r="P71"/>
  <c r="L71"/>
  <c r="H71"/>
  <c r="S70"/>
  <c r="R70"/>
  <c r="P70"/>
  <c r="L70"/>
  <c r="H70"/>
  <c r="S69"/>
  <c r="R69"/>
  <c r="P69"/>
  <c r="L69"/>
  <c r="S68"/>
  <c r="R68"/>
  <c r="P68"/>
  <c r="L68"/>
  <c r="H68"/>
  <c r="S65"/>
  <c r="R65"/>
  <c r="P65"/>
  <c r="L65"/>
  <c r="H65"/>
  <c r="S64"/>
  <c r="R64"/>
  <c r="P64"/>
  <c r="L64"/>
  <c r="H64"/>
  <c r="S63"/>
  <c r="R63"/>
  <c r="P63"/>
  <c r="L63"/>
  <c r="H63"/>
  <c r="S62"/>
  <c r="R62"/>
  <c r="P62"/>
  <c r="L62"/>
  <c r="H62"/>
  <c r="S59"/>
  <c r="R59"/>
  <c r="P59"/>
  <c r="L59"/>
  <c r="H59"/>
  <c r="S58"/>
  <c r="R58"/>
  <c r="P58"/>
  <c r="L58"/>
  <c r="H58"/>
  <c r="S57"/>
  <c r="R57"/>
  <c r="P57"/>
  <c r="L57"/>
  <c r="H57"/>
  <c r="S56"/>
  <c r="R56"/>
  <c r="P56"/>
  <c r="L56"/>
  <c r="H56"/>
  <c r="S55"/>
  <c r="R55"/>
  <c r="P55"/>
  <c r="L55"/>
  <c r="H55"/>
  <c r="P54"/>
  <c r="L54"/>
  <c r="H54"/>
  <c r="Q53"/>
  <c r="O53"/>
  <c r="L120" i="12" s="1"/>
  <c r="N53" i="14"/>
  <c r="K120" i="12" s="1"/>
  <c r="M53" i="14"/>
  <c r="K53"/>
  <c r="H120" i="12" s="1"/>
  <c r="J53" i="14"/>
  <c r="G120" i="12" s="1"/>
  <c r="I53" i="14"/>
  <c r="G53"/>
  <c r="D120" i="12" s="1"/>
  <c r="F53" i="14"/>
  <c r="C120" i="12" s="1"/>
  <c r="Q51" i="14"/>
  <c r="Q143" s="1"/>
  <c r="O51"/>
  <c r="N51"/>
  <c r="N143" s="1"/>
  <c r="M51"/>
  <c r="K51"/>
  <c r="K143" s="1"/>
  <c r="J51"/>
  <c r="I51"/>
  <c r="I143" s="1"/>
  <c r="G51"/>
  <c r="F51"/>
  <c r="S50"/>
  <c r="R50"/>
  <c r="P50"/>
  <c r="L50"/>
  <c r="H50"/>
  <c r="S49"/>
  <c r="R49"/>
  <c r="P49"/>
  <c r="L49"/>
  <c r="H49"/>
  <c r="S46"/>
  <c r="R46"/>
  <c r="P46"/>
  <c r="L46"/>
  <c r="H46"/>
  <c r="S45"/>
  <c r="R45"/>
  <c r="P45"/>
  <c r="L45"/>
  <c r="H45"/>
  <c r="S44"/>
  <c r="R44"/>
  <c r="P44"/>
  <c r="L44"/>
  <c r="H44"/>
  <c r="S43"/>
  <c r="R43"/>
  <c r="P43"/>
  <c r="L43"/>
  <c r="H43"/>
  <c r="S42"/>
  <c r="R42"/>
  <c r="P42"/>
  <c r="L42"/>
  <c r="H42"/>
  <c r="S41"/>
  <c r="R41"/>
  <c r="P41"/>
  <c r="L41"/>
  <c r="H41"/>
  <c r="S40"/>
  <c r="R40"/>
  <c r="P40"/>
  <c r="L40"/>
  <c r="H40"/>
  <c r="S39"/>
  <c r="R39"/>
  <c r="P39"/>
  <c r="L39"/>
  <c r="H39"/>
  <c r="S38"/>
  <c r="R38"/>
  <c r="P38"/>
  <c r="L38"/>
  <c r="H38"/>
  <c r="S37"/>
  <c r="R37"/>
  <c r="P37"/>
  <c r="L37"/>
  <c r="H37"/>
  <c r="S36"/>
  <c r="R36"/>
  <c r="P36"/>
  <c r="L36"/>
  <c r="H36"/>
  <c r="S35"/>
  <c r="R35"/>
  <c r="P35"/>
  <c r="L35"/>
  <c r="H35"/>
  <c r="S32"/>
  <c r="R32"/>
  <c r="P32"/>
  <c r="L32"/>
  <c r="H32"/>
  <c r="S31"/>
  <c r="R31"/>
  <c r="P31"/>
  <c r="L31"/>
  <c r="H31"/>
  <c r="S30"/>
  <c r="R30"/>
  <c r="P30"/>
  <c r="L30"/>
  <c r="H30"/>
  <c r="S29"/>
  <c r="R29"/>
  <c r="P29"/>
  <c r="L29"/>
  <c r="H29"/>
  <c r="S26"/>
  <c r="R26"/>
  <c r="P26"/>
  <c r="L26"/>
  <c r="H26"/>
  <c r="S25"/>
  <c r="R25"/>
  <c r="P25"/>
  <c r="L25"/>
  <c r="H25"/>
  <c r="S24"/>
  <c r="R24"/>
  <c r="P24"/>
  <c r="L24"/>
  <c r="H24"/>
  <c r="S21"/>
  <c r="R21"/>
  <c r="P21"/>
  <c r="L21"/>
  <c r="H21"/>
  <c r="S20"/>
  <c r="R20"/>
  <c r="P20"/>
  <c r="L20"/>
  <c r="H20"/>
  <c r="S17"/>
  <c r="R17"/>
  <c r="P17"/>
  <c r="L17"/>
  <c r="H17"/>
  <c r="S16"/>
  <c r="R16"/>
  <c r="P16"/>
  <c r="L16"/>
  <c r="H16"/>
  <c r="S15"/>
  <c r="R15"/>
  <c r="P15"/>
  <c r="L15"/>
  <c r="H15"/>
  <c r="S14"/>
  <c r="R14"/>
  <c r="P14"/>
  <c r="L14"/>
  <c r="H14"/>
  <c r="S13"/>
  <c r="R13"/>
  <c r="P13"/>
  <c r="L13"/>
  <c r="H13"/>
  <c r="P12"/>
  <c r="L12"/>
  <c r="H12"/>
  <c r="Q11"/>
  <c r="O11"/>
  <c r="N11"/>
  <c r="M11"/>
  <c r="K11"/>
  <c r="J11"/>
  <c r="I11"/>
  <c r="G11"/>
  <c r="F11"/>
  <c r="P9"/>
  <c r="L9"/>
  <c r="H9"/>
  <c r="S8"/>
  <c r="R8"/>
  <c r="P8"/>
  <c r="L8"/>
  <c r="H8"/>
  <c r="O137" i="13"/>
  <c r="N137"/>
  <c r="O106"/>
  <c r="L110" i="12" s="1"/>
  <c r="N106" i="13"/>
  <c r="K110" i="12" s="1"/>
  <c r="O104" i="13"/>
  <c r="N104"/>
  <c r="O83"/>
  <c r="L109" i="12" s="1"/>
  <c r="N83" i="13"/>
  <c r="K109" i="12" s="1"/>
  <c r="O81" i="13"/>
  <c r="N81"/>
  <c r="O53"/>
  <c r="L108" i="12" s="1"/>
  <c r="N53" i="13"/>
  <c r="K108" i="12" s="1"/>
  <c r="O51" i="13"/>
  <c r="N51"/>
  <c r="O11"/>
  <c r="N11"/>
  <c r="K137"/>
  <c r="J137"/>
  <c r="K106"/>
  <c r="H110" i="12" s="1"/>
  <c r="J106" i="13"/>
  <c r="G110" i="12" s="1"/>
  <c r="J104" i="13"/>
  <c r="J83"/>
  <c r="G109" i="12" s="1"/>
  <c r="K81" i="13"/>
  <c r="J81"/>
  <c r="K53"/>
  <c r="H108" i="12" s="1"/>
  <c r="J53" i="13"/>
  <c r="K51"/>
  <c r="K11"/>
  <c r="Q137"/>
  <c r="M137"/>
  <c r="I137"/>
  <c r="G137"/>
  <c r="F137"/>
  <c r="S136"/>
  <c r="R136"/>
  <c r="T136" s="1"/>
  <c r="P136"/>
  <c r="L136"/>
  <c r="H136"/>
  <c r="S135"/>
  <c r="R135"/>
  <c r="P135"/>
  <c r="L135"/>
  <c r="H135"/>
  <c r="S134"/>
  <c r="R134"/>
  <c r="P134"/>
  <c r="L134"/>
  <c r="H134"/>
  <c r="S131"/>
  <c r="R131"/>
  <c r="P131"/>
  <c r="L131"/>
  <c r="H131"/>
  <c r="S130"/>
  <c r="R130"/>
  <c r="P130"/>
  <c r="L130"/>
  <c r="H130"/>
  <c r="S129"/>
  <c r="R129"/>
  <c r="P129"/>
  <c r="L129"/>
  <c r="H129"/>
  <c r="S126"/>
  <c r="R126"/>
  <c r="P126"/>
  <c r="L126"/>
  <c r="H126"/>
  <c r="S125"/>
  <c r="R125"/>
  <c r="P125"/>
  <c r="L125"/>
  <c r="H125"/>
  <c r="S124"/>
  <c r="R124"/>
  <c r="P124"/>
  <c r="L124"/>
  <c r="H124"/>
  <c r="S121"/>
  <c r="R121"/>
  <c r="P121"/>
  <c r="L121"/>
  <c r="H121"/>
  <c r="S120"/>
  <c r="R120"/>
  <c r="P120"/>
  <c r="L120"/>
  <c r="H120"/>
  <c r="S119"/>
  <c r="R119"/>
  <c r="P119"/>
  <c r="L119"/>
  <c r="H119"/>
  <c r="S118"/>
  <c r="R118"/>
  <c r="P118"/>
  <c r="L118"/>
  <c r="H118"/>
  <c r="S115"/>
  <c r="R115"/>
  <c r="P115"/>
  <c r="L115"/>
  <c r="H115"/>
  <c r="S114"/>
  <c r="R114"/>
  <c r="P114"/>
  <c r="L114"/>
  <c r="H114"/>
  <c r="S113"/>
  <c r="R113"/>
  <c r="P113"/>
  <c r="L113"/>
  <c r="H113"/>
  <c r="S112"/>
  <c r="R112"/>
  <c r="P112"/>
  <c r="L112"/>
  <c r="H112"/>
  <c r="S111"/>
  <c r="R111"/>
  <c r="P111"/>
  <c r="L111"/>
  <c r="H111"/>
  <c r="S110"/>
  <c r="R110"/>
  <c r="P110"/>
  <c r="L110"/>
  <c r="H110"/>
  <c r="S109"/>
  <c r="R109"/>
  <c r="P109"/>
  <c r="L109"/>
  <c r="H109"/>
  <c r="S108"/>
  <c r="R108"/>
  <c r="P108"/>
  <c r="L108"/>
  <c r="H108"/>
  <c r="P107"/>
  <c r="L107"/>
  <c r="H107"/>
  <c r="Q106"/>
  <c r="P106"/>
  <c r="M106"/>
  <c r="I106"/>
  <c r="G106"/>
  <c r="D110" i="12" s="1"/>
  <c r="F106" i="13"/>
  <c r="C110" i="12" s="1"/>
  <c r="Q104" i="13"/>
  <c r="M104"/>
  <c r="I104"/>
  <c r="G104"/>
  <c r="F104"/>
  <c r="S103"/>
  <c r="R103"/>
  <c r="P103"/>
  <c r="L103"/>
  <c r="H103"/>
  <c r="S102"/>
  <c r="R102"/>
  <c r="P102"/>
  <c r="L102"/>
  <c r="H102"/>
  <c r="S101"/>
  <c r="R101"/>
  <c r="P101"/>
  <c r="L101"/>
  <c r="H101"/>
  <c r="S98"/>
  <c r="R98"/>
  <c r="P98"/>
  <c r="L98"/>
  <c r="H98"/>
  <c r="S97"/>
  <c r="R97"/>
  <c r="P97"/>
  <c r="L97"/>
  <c r="H97"/>
  <c r="S96"/>
  <c r="R96"/>
  <c r="P96"/>
  <c r="L96"/>
  <c r="H96"/>
  <c r="S95"/>
  <c r="R95"/>
  <c r="P95"/>
  <c r="L95"/>
  <c r="H95"/>
  <c r="S94"/>
  <c r="R94"/>
  <c r="P94"/>
  <c r="L94"/>
  <c r="H94"/>
  <c r="S93"/>
  <c r="R93"/>
  <c r="P93"/>
  <c r="L93"/>
  <c r="H93"/>
  <c r="S92"/>
  <c r="R92"/>
  <c r="P92"/>
  <c r="L92"/>
  <c r="H92"/>
  <c r="S89"/>
  <c r="R89"/>
  <c r="P89"/>
  <c r="L89"/>
  <c r="H89"/>
  <c r="S88"/>
  <c r="R88"/>
  <c r="T88" s="1"/>
  <c r="P88"/>
  <c r="L88"/>
  <c r="H88"/>
  <c r="S87"/>
  <c r="U87" s="1"/>
  <c r="R87"/>
  <c r="P87"/>
  <c r="L87"/>
  <c r="H87"/>
  <c r="S86"/>
  <c r="R86"/>
  <c r="T86" s="1"/>
  <c r="P86"/>
  <c r="L86"/>
  <c r="H86"/>
  <c r="S85"/>
  <c r="S104" s="1"/>
  <c r="R85"/>
  <c r="P85"/>
  <c r="L85"/>
  <c r="H85"/>
  <c r="P84"/>
  <c r="L84"/>
  <c r="H84"/>
  <c r="R83"/>
  <c r="Q83"/>
  <c r="P83"/>
  <c r="M83"/>
  <c r="I83"/>
  <c r="H83"/>
  <c r="G83"/>
  <c r="D109" i="12" s="1"/>
  <c r="F83" i="13"/>
  <c r="C109" i="12" s="1"/>
  <c r="Q81" i="13"/>
  <c r="M81"/>
  <c r="I81"/>
  <c r="G81"/>
  <c r="F81"/>
  <c r="S80"/>
  <c r="R80"/>
  <c r="P80"/>
  <c r="L80"/>
  <c r="H80"/>
  <c r="S79"/>
  <c r="R79"/>
  <c r="P79"/>
  <c r="L79"/>
  <c r="H79"/>
  <c r="S78"/>
  <c r="R78"/>
  <c r="T78" s="1"/>
  <c r="P78"/>
  <c r="L78"/>
  <c r="H78"/>
  <c r="S77"/>
  <c r="R77"/>
  <c r="P77"/>
  <c r="L77"/>
  <c r="H77"/>
  <c r="S76"/>
  <c r="R76"/>
  <c r="P76"/>
  <c r="L76"/>
  <c r="H76"/>
  <c r="S75"/>
  <c r="R75"/>
  <c r="P75"/>
  <c r="L75"/>
  <c r="H75"/>
  <c r="S72"/>
  <c r="R72"/>
  <c r="P72"/>
  <c r="L72"/>
  <c r="H72"/>
  <c r="S71"/>
  <c r="R71"/>
  <c r="P71"/>
  <c r="L71"/>
  <c r="H71"/>
  <c r="S70"/>
  <c r="R70"/>
  <c r="P70"/>
  <c r="L70"/>
  <c r="H70"/>
  <c r="S69"/>
  <c r="R69"/>
  <c r="P69"/>
  <c r="L69"/>
  <c r="H69"/>
  <c r="S68"/>
  <c r="R68"/>
  <c r="P68"/>
  <c r="L68"/>
  <c r="H68"/>
  <c r="S65"/>
  <c r="R65"/>
  <c r="P65"/>
  <c r="L65"/>
  <c r="H65"/>
  <c r="S64"/>
  <c r="R64"/>
  <c r="P64"/>
  <c r="L64"/>
  <c r="H64"/>
  <c r="S63"/>
  <c r="R63"/>
  <c r="P63"/>
  <c r="L63"/>
  <c r="H63"/>
  <c r="S62"/>
  <c r="R62"/>
  <c r="P62"/>
  <c r="L62"/>
  <c r="H62"/>
  <c r="S59"/>
  <c r="R59"/>
  <c r="P59"/>
  <c r="L59"/>
  <c r="H59"/>
  <c r="S58"/>
  <c r="R58"/>
  <c r="T58" s="1"/>
  <c r="P58"/>
  <c r="L58"/>
  <c r="H58"/>
  <c r="S57"/>
  <c r="R57"/>
  <c r="P57"/>
  <c r="L57"/>
  <c r="H57"/>
  <c r="S56"/>
  <c r="R56"/>
  <c r="P56"/>
  <c r="L56"/>
  <c r="H56"/>
  <c r="S55"/>
  <c r="R55"/>
  <c r="P55"/>
  <c r="L55"/>
  <c r="H55"/>
  <c r="P54"/>
  <c r="L54"/>
  <c r="H54"/>
  <c r="Q53"/>
  <c r="M53"/>
  <c r="I53"/>
  <c r="G53"/>
  <c r="D108" i="12" s="1"/>
  <c r="F53" i="13"/>
  <c r="C108" i="12" s="1"/>
  <c r="Q51" i="13"/>
  <c r="O143"/>
  <c r="M51"/>
  <c r="I51"/>
  <c r="G51"/>
  <c r="G143" s="1"/>
  <c r="F51"/>
  <c r="S50"/>
  <c r="R50"/>
  <c r="P50"/>
  <c r="L50"/>
  <c r="H50"/>
  <c r="S49"/>
  <c r="R49"/>
  <c r="P49"/>
  <c r="L49"/>
  <c r="H49"/>
  <c r="S46"/>
  <c r="R46"/>
  <c r="P46"/>
  <c r="L46"/>
  <c r="H46"/>
  <c r="S45"/>
  <c r="R45"/>
  <c r="P45"/>
  <c r="L45"/>
  <c r="H45"/>
  <c r="S44"/>
  <c r="R44"/>
  <c r="P44"/>
  <c r="L44"/>
  <c r="H44"/>
  <c r="S43"/>
  <c r="R43"/>
  <c r="P43"/>
  <c r="L43"/>
  <c r="H43"/>
  <c r="S42"/>
  <c r="R42"/>
  <c r="P42"/>
  <c r="L42"/>
  <c r="H42"/>
  <c r="S41"/>
  <c r="R41"/>
  <c r="P41"/>
  <c r="L41"/>
  <c r="H41"/>
  <c r="S40"/>
  <c r="R40"/>
  <c r="P40"/>
  <c r="L40"/>
  <c r="H40"/>
  <c r="S39"/>
  <c r="R39"/>
  <c r="P39"/>
  <c r="L39"/>
  <c r="H39"/>
  <c r="S38"/>
  <c r="R38"/>
  <c r="P38"/>
  <c r="L38"/>
  <c r="H38"/>
  <c r="S37"/>
  <c r="R37"/>
  <c r="P37"/>
  <c r="L37"/>
  <c r="H37"/>
  <c r="S36"/>
  <c r="R36"/>
  <c r="P36"/>
  <c r="L36"/>
  <c r="H36"/>
  <c r="S35"/>
  <c r="R35"/>
  <c r="P35"/>
  <c r="L35"/>
  <c r="H35"/>
  <c r="S32"/>
  <c r="R32"/>
  <c r="P32"/>
  <c r="L32"/>
  <c r="H32"/>
  <c r="S31"/>
  <c r="R31"/>
  <c r="P31"/>
  <c r="L31"/>
  <c r="H31"/>
  <c r="S30"/>
  <c r="R30"/>
  <c r="P30"/>
  <c r="L30"/>
  <c r="H30"/>
  <c r="S29"/>
  <c r="R29"/>
  <c r="P29"/>
  <c r="L29"/>
  <c r="H29"/>
  <c r="S26"/>
  <c r="R26"/>
  <c r="P26"/>
  <c r="L26"/>
  <c r="H26"/>
  <c r="S25"/>
  <c r="R25"/>
  <c r="P25"/>
  <c r="L25"/>
  <c r="H25"/>
  <c r="J25" i="6" s="1"/>
  <c r="S24" i="13"/>
  <c r="R24"/>
  <c r="P24"/>
  <c r="L24"/>
  <c r="H24"/>
  <c r="S21"/>
  <c r="R21"/>
  <c r="P21"/>
  <c r="L21"/>
  <c r="H21"/>
  <c r="S20"/>
  <c r="R20"/>
  <c r="P20"/>
  <c r="L20"/>
  <c r="H20"/>
  <c r="S17"/>
  <c r="R17"/>
  <c r="P17"/>
  <c r="L17"/>
  <c r="H17"/>
  <c r="S16"/>
  <c r="R16"/>
  <c r="P16"/>
  <c r="L16"/>
  <c r="H16"/>
  <c r="S15"/>
  <c r="R15"/>
  <c r="P15"/>
  <c r="L15"/>
  <c r="H15"/>
  <c r="S14"/>
  <c r="S11" s="1"/>
  <c r="R14"/>
  <c r="P14"/>
  <c r="L14"/>
  <c r="H14"/>
  <c r="S13"/>
  <c r="R13"/>
  <c r="P13"/>
  <c r="L13"/>
  <c r="H13"/>
  <c r="P12"/>
  <c r="L12"/>
  <c r="H12"/>
  <c r="Q11"/>
  <c r="M11"/>
  <c r="I11"/>
  <c r="G11"/>
  <c r="F11"/>
  <c r="P9"/>
  <c r="L9"/>
  <c r="H9"/>
  <c r="P8"/>
  <c r="L8"/>
  <c r="F143"/>
  <c r="L90" i="12"/>
  <c r="K90"/>
  <c r="L89"/>
  <c r="K89"/>
  <c r="L88"/>
  <c r="K88"/>
  <c r="L87"/>
  <c r="K87"/>
  <c r="L86"/>
  <c r="K86"/>
  <c r="L85"/>
  <c r="K85"/>
  <c r="L84"/>
  <c r="K84"/>
  <c r="L83"/>
  <c r="K83"/>
  <c r="L82"/>
  <c r="K82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D90"/>
  <c r="D89"/>
  <c r="D88"/>
  <c r="D87"/>
  <c r="D86"/>
  <c r="D85"/>
  <c r="D84"/>
  <c r="D83"/>
  <c r="D82"/>
  <c r="C90"/>
  <c r="C89"/>
  <c r="C88"/>
  <c r="C87"/>
  <c r="P111" l="1"/>
  <c r="P113"/>
  <c r="I171"/>
  <c r="E172"/>
  <c r="I172"/>
  <c r="M178"/>
  <c r="U24" i="18"/>
  <c r="T141"/>
  <c r="U141"/>
  <c r="T44"/>
  <c r="U44"/>
  <c r="L83"/>
  <c r="L106"/>
  <c r="U131"/>
  <c r="U88"/>
  <c r="T80"/>
  <c r="U113"/>
  <c r="U102"/>
  <c r="L81"/>
  <c r="T68"/>
  <c r="T25"/>
  <c r="R83"/>
  <c r="U89"/>
  <c r="U39"/>
  <c r="T39"/>
  <c r="E178" i="12"/>
  <c r="T24" i="18"/>
  <c r="T140"/>
  <c r="E185" i="12"/>
  <c r="U140" i="18"/>
  <c r="S11"/>
  <c r="T14"/>
  <c r="U14"/>
  <c r="T92"/>
  <c r="U42"/>
  <c r="T36"/>
  <c r="U36"/>
  <c r="U32"/>
  <c r="P51"/>
  <c r="U17"/>
  <c r="I179" i="12"/>
  <c r="T77" i="18"/>
  <c r="U77"/>
  <c r="T26"/>
  <c r="U26"/>
  <c r="T96"/>
  <c r="U96"/>
  <c r="H104"/>
  <c r="T38"/>
  <c r="U38"/>
  <c r="T76"/>
  <c r="U76"/>
  <c r="T134"/>
  <c r="U78"/>
  <c r="T75"/>
  <c r="U75"/>
  <c r="T16"/>
  <c r="R51"/>
  <c r="U16"/>
  <c r="U135"/>
  <c r="T63"/>
  <c r="U63"/>
  <c r="T56"/>
  <c r="U56"/>
  <c r="T21"/>
  <c r="T29"/>
  <c r="L104"/>
  <c r="U86"/>
  <c r="T65"/>
  <c r="U65"/>
  <c r="F143"/>
  <c r="L53"/>
  <c r="H53"/>
  <c r="U57"/>
  <c r="R104"/>
  <c r="U98"/>
  <c r="G181" i="12"/>
  <c r="I181" i="22"/>
  <c r="P83" i="18"/>
  <c r="K181" i="12"/>
  <c r="T93" i="18"/>
  <c r="T87"/>
  <c r="S83"/>
  <c r="L51"/>
  <c r="U20"/>
  <c r="P137"/>
  <c r="K182" i="12"/>
  <c r="S104" i="18"/>
  <c r="T94"/>
  <c r="U94"/>
  <c r="H83"/>
  <c r="U97"/>
  <c r="T71"/>
  <c r="U71"/>
  <c r="P180" i="22"/>
  <c r="T64" i="18"/>
  <c r="P53"/>
  <c r="L180" i="12"/>
  <c r="U30" i="18"/>
  <c r="L83" i="16"/>
  <c r="H181" i="12"/>
  <c r="I181" s="1"/>
  <c r="P181" i="22"/>
  <c r="T101" i="18"/>
  <c r="L181" i="12"/>
  <c r="M181" s="1"/>
  <c r="G157"/>
  <c r="I157" s="1"/>
  <c r="G157" i="22"/>
  <c r="I157" s="1"/>
  <c r="U115" i="18"/>
  <c r="L137"/>
  <c r="T120"/>
  <c r="M182" i="22"/>
  <c r="L187"/>
  <c r="L182" i="12"/>
  <c r="T118" i="18"/>
  <c r="R137"/>
  <c r="H106"/>
  <c r="U119"/>
  <c r="U121"/>
  <c r="T69"/>
  <c r="R53"/>
  <c r="U69"/>
  <c r="E181" i="22"/>
  <c r="O181"/>
  <c r="Q181" s="1"/>
  <c r="D181" i="12"/>
  <c r="P181" s="1"/>
  <c r="R181" i="22"/>
  <c r="C181" i="12"/>
  <c r="K143" i="18"/>
  <c r="H187" i="22"/>
  <c r="I182"/>
  <c r="H137" i="18"/>
  <c r="T131"/>
  <c r="M180" i="22"/>
  <c r="K187"/>
  <c r="P81" i="18"/>
  <c r="P143" s="1"/>
  <c r="K180" i="12"/>
  <c r="M180" s="1"/>
  <c r="S53" i="18"/>
  <c r="U53" s="1"/>
  <c r="S81"/>
  <c r="T72"/>
  <c r="T53" s="1"/>
  <c r="T55"/>
  <c r="M179" i="12"/>
  <c r="G143" i="18"/>
  <c r="G145" s="1"/>
  <c r="T110"/>
  <c r="J143"/>
  <c r="T130"/>
  <c r="U130"/>
  <c r="G182" i="12"/>
  <c r="S106" i="18"/>
  <c r="U106" s="1"/>
  <c r="S137"/>
  <c r="T129"/>
  <c r="H182" i="12"/>
  <c r="L11" i="18"/>
  <c r="T59"/>
  <c r="T62"/>
  <c r="H180" i="12"/>
  <c r="H187" s="1"/>
  <c r="H26" i="11" s="1"/>
  <c r="G187" i="22"/>
  <c r="I180"/>
  <c r="G180" i="12"/>
  <c r="H81" i="18"/>
  <c r="D180" i="12"/>
  <c r="O180" i="22"/>
  <c r="Q180" s="1"/>
  <c r="E180"/>
  <c r="C180" i="12"/>
  <c r="O182" i="22"/>
  <c r="C187"/>
  <c r="E182"/>
  <c r="D182" i="12"/>
  <c r="P182" i="22"/>
  <c r="R182" s="1"/>
  <c r="D187"/>
  <c r="P187" s="1"/>
  <c r="C182" i="12"/>
  <c r="T45" i="18"/>
  <c r="U45"/>
  <c r="T46"/>
  <c r="U46"/>
  <c r="U40"/>
  <c r="T41"/>
  <c r="T40"/>
  <c r="E179" i="12"/>
  <c r="H51" i="18"/>
  <c r="O179" i="12"/>
  <c r="R179" s="1"/>
  <c r="J143" i="17"/>
  <c r="T140"/>
  <c r="U140"/>
  <c r="U102"/>
  <c r="K156" i="12"/>
  <c r="K156" i="22"/>
  <c r="J104" i="6"/>
  <c r="U69" i="17"/>
  <c r="M166" i="12"/>
  <c r="T8" i="17"/>
  <c r="E166" i="12"/>
  <c r="U114" i="17"/>
  <c r="T115"/>
  <c r="U118"/>
  <c r="U120"/>
  <c r="U124"/>
  <c r="T125"/>
  <c r="U126"/>
  <c r="T129"/>
  <c r="U134"/>
  <c r="T135"/>
  <c r="T118"/>
  <c r="T126"/>
  <c r="T134"/>
  <c r="U136"/>
  <c r="U13"/>
  <c r="T14"/>
  <c r="U15"/>
  <c r="T16"/>
  <c r="T20"/>
  <c r="U21"/>
  <c r="T30"/>
  <c r="U31"/>
  <c r="T32"/>
  <c r="U39"/>
  <c r="U41"/>
  <c r="T42"/>
  <c r="U43"/>
  <c r="U45"/>
  <c r="T46"/>
  <c r="T50"/>
  <c r="T55"/>
  <c r="U56"/>
  <c r="T57"/>
  <c r="T63"/>
  <c r="T69"/>
  <c r="U70"/>
  <c r="U72"/>
  <c r="T75"/>
  <c r="U76"/>
  <c r="T77"/>
  <c r="U78"/>
  <c r="T79"/>
  <c r="U80"/>
  <c r="P104"/>
  <c r="L83"/>
  <c r="T88"/>
  <c r="T92"/>
  <c r="T94"/>
  <c r="U95"/>
  <c r="T96"/>
  <c r="T98"/>
  <c r="U101"/>
  <c r="T102"/>
  <c r="U103"/>
  <c r="L137"/>
  <c r="U111"/>
  <c r="T112"/>
  <c r="T120"/>
  <c r="T124"/>
  <c r="U125"/>
  <c r="U129"/>
  <c r="U131"/>
  <c r="T40"/>
  <c r="L11"/>
  <c r="T58"/>
  <c r="T131"/>
  <c r="U141"/>
  <c r="P169" i="22"/>
  <c r="T40" i="16"/>
  <c r="U40"/>
  <c r="T35" i="17"/>
  <c r="U35"/>
  <c r="T25"/>
  <c r="U25"/>
  <c r="T136"/>
  <c r="U68"/>
  <c r="T29"/>
  <c r="R11"/>
  <c r="U29"/>
  <c r="P53"/>
  <c r="U58"/>
  <c r="T59"/>
  <c r="U17"/>
  <c r="U14"/>
  <c r="U14" i="16"/>
  <c r="T24" i="17"/>
  <c r="T110"/>
  <c r="L81"/>
  <c r="P83"/>
  <c r="T97"/>
  <c r="U97"/>
  <c r="U49"/>
  <c r="U96"/>
  <c r="H137"/>
  <c r="H83"/>
  <c r="U89"/>
  <c r="T44"/>
  <c r="H132" i="12"/>
  <c r="H132" i="22"/>
  <c r="H144" s="1"/>
  <c r="G132" i="12"/>
  <c r="G132" i="22"/>
  <c r="D132" i="12"/>
  <c r="D132" i="22"/>
  <c r="C132" i="12"/>
  <c r="C132" i="22"/>
  <c r="T62" i="17"/>
  <c r="U62"/>
  <c r="T26"/>
  <c r="U26"/>
  <c r="U46"/>
  <c r="T56"/>
  <c r="U135"/>
  <c r="H11"/>
  <c r="S137"/>
  <c r="T119"/>
  <c r="T121"/>
  <c r="H134" i="12"/>
  <c r="H134" i="22"/>
  <c r="G134" i="12"/>
  <c r="G134" i="22"/>
  <c r="D134" i="12"/>
  <c r="D134" i="22"/>
  <c r="U119" i="17"/>
  <c r="U121"/>
  <c r="K191" i="12"/>
  <c r="T38" i="17"/>
  <c r="R51"/>
  <c r="U38"/>
  <c r="T76"/>
  <c r="P11"/>
  <c r="T37"/>
  <c r="U37"/>
  <c r="L53"/>
  <c r="R53"/>
  <c r="S53"/>
  <c r="S81"/>
  <c r="T72"/>
  <c r="H81"/>
  <c r="L169" i="12"/>
  <c r="L193" s="1"/>
  <c r="U115" i="17"/>
  <c r="P167" i="12"/>
  <c r="L104" i="17"/>
  <c r="H169" i="12"/>
  <c r="U88" i="17"/>
  <c r="G143"/>
  <c r="U113"/>
  <c r="U75"/>
  <c r="T130"/>
  <c r="U130"/>
  <c r="U77"/>
  <c r="R106"/>
  <c r="R137"/>
  <c r="U109"/>
  <c r="N143"/>
  <c r="U79"/>
  <c r="G193" i="22"/>
  <c r="I193" s="1"/>
  <c r="I169"/>
  <c r="G169" i="12"/>
  <c r="I169" s="1"/>
  <c r="U93" i="17"/>
  <c r="T114"/>
  <c r="H106"/>
  <c r="K193" i="22"/>
  <c r="M193" s="1"/>
  <c r="M169"/>
  <c r="K169" i="12"/>
  <c r="F143" i="17"/>
  <c r="R83"/>
  <c r="U87"/>
  <c r="S83"/>
  <c r="S104"/>
  <c r="U104" s="1"/>
  <c r="T86"/>
  <c r="H104"/>
  <c r="E169" i="22"/>
  <c r="O169"/>
  <c r="Q169" s="1"/>
  <c r="D169" i="12"/>
  <c r="P169" s="1"/>
  <c r="R169" i="22"/>
  <c r="U83" i="17"/>
  <c r="C169" i="12"/>
  <c r="H191"/>
  <c r="I167"/>
  <c r="L143" i="17"/>
  <c r="F145"/>
  <c r="O167" i="12"/>
  <c r="M167"/>
  <c r="P51" i="17"/>
  <c r="P143" s="1"/>
  <c r="L191" i="12"/>
  <c r="S11" i="17"/>
  <c r="U11" s="1"/>
  <c r="H51"/>
  <c r="H143" s="1"/>
  <c r="T36"/>
  <c r="D191" i="12"/>
  <c r="E167"/>
  <c r="K143" i="17"/>
  <c r="T65"/>
  <c r="U65"/>
  <c r="M168" i="22"/>
  <c r="K192"/>
  <c r="M192" s="1"/>
  <c r="L168" i="12"/>
  <c r="L192" s="1"/>
  <c r="K168"/>
  <c r="U64" i="17"/>
  <c r="H53"/>
  <c r="H168" i="12"/>
  <c r="P168" i="22"/>
  <c r="T71" i="17"/>
  <c r="I168" i="22"/>
  <c r="G192"/>
  <c r="I192" s="1"/>
  <c r="U71" i="17"/>
  <c r="G168" i="12"/>
  <c r="D168"/>
  <c r="O168" i="22"/>
  <c r="E168"/>
  <c r="C168" i="12"/>
  <c r="L194" i="22"/>
  <c r="L199" s="1"/>
  <c r="L201" s="1"/>
  <c r="L175"/>
  <c r="L170" i="12"/>
  <c r="M170" i="22"/>
  <c r="K194"/>
  <c r="K175"/>
  <c r="M175" s="1"/>
  <c r="K170" i="12"/>
  <c r="H175" i="22"/>
  <c r="H194"/>
  <c r="H199" s="1"/>
  <c r="U106" i="17"/>
  <c r="H170" i="12"/>
  <c r="I170" i="22"/>
  <c r="G175"/>
  <c r="G170" i="12"/>
  <c r="D170"/>
  <c r="P170" i="22"/>
  <c r="D175"/>
  <c r="C175"/>
  <c r="O170"/>
  <c r="E170"/>
  <c r="C170" i="12"/>
  <c r="G133"/>
  <c r="G133" i="22"/>
  <c r="R83" i="15"/>
  <c r="C157" i="12"/>
  <c r="C157" i="22"/>
  <c r="U88" i="16"/>
  <c r="D157" i="12"/>
  <c r="D157" i="22"/>
  <c r="D158" i="12"/>
  <c r="D158" i="22"/>
  <c r="C158" i="12"/>
  <c r="C158" i="22"/>
  <c r="G158" i="12"/>
  <c r="G158" i="22"/>
  <c r="L137" i="16"/>
  <c r="U129"/>
  <c r="D156" i="12"/>
  <c r="D156" i="22"/>
  <c r="C156" i="12"/>
  <c r="C156" i="22"/>
  <c r="T141" i="16"/>
  <c r="U141"/>
  <c r="E162" i="12"/>
  <c r="M154"/>
  <c r="E154"/>
  <c r="L104" i="16"/>
  <c r="T102"/>
  <c r="U102"/>
  <c r="U78"/>
  <c r="O159" i="12"/>
  <c r="E159"/>
  <c r="T25" i="16"/>
  <c r="U25"/>
  <c r="T140"/>
  <c r="P161" i="12"/>
  <c r="O161"/>
  <c r="E161"/>
  <c r="U140" i="16"/>
  <c r="U32"/>
  <c r="U50"/>
  <c r="T29"/>
  <c r="U30"/>
  <c r="T98"/>
  <c r="U93"/>
  <c r="T15"/>
  <c r="U65"/>
  <c r="U87"/>
  <c r="U97"/>
  <c r="T109"/>
  <c r="S83"/>
  <c r="S104"/>
  <c r="H83"/>
  <c r="T94"/>
  <c r="T70"/>
  <c r="H106"/>
  <c r="T130"/>
  <c r="U130"/>
  <c r="U64"/>
  <c r="T101"/>
  <c r="U101"/>
  <c r="P11"/>
  <c r="T31"/>
  <c r="U31"/>
  <c r="T75"/>
  <c r="L53"/>
  <c r="U71"/>
  <c r="R106"/>
  <c r="U114"/>
  <c r="T57"/>
  <c r="O143"/>
  <c r="R83"/>
  <c r="R104"/>
  <c r="U86"/>
  <c r="T131"/>
  <c r="T14"/>
  <c r="T16"/>
  <c r="L11"/>
  <c r="U13"/>
  <c r="R137"/>
  <c r="T118"/>
  <c r="U119"/>
  <c r="T120"/>
  <c r="U121"/>
  <c r="T24"/>
  <c r="G193" i="12"/>
  <c r="T92" i="16"/>
  <c r="K193" i="12"/>
  <c r="M157"/>
  <c r="D193"/>
  <c r="P157"/>
  <c r="E157"/>
  <c r="H104" i="16"/>
  <c r="T42"/>
  <c r="T43"/>
  <c r="U20"/>
  <c r="L81"/>
  <c r="L143" s="1"/>
  <c r="T62"/>
  <c r="F143"/>
  <c r="U62"/>
  <c r="E170" i="12"/>
  <c r="E173"/>
  <c r="I173"/>
  <c r="E174"/>
  <c r="I186"/>
  <c r="T56" i="16"/>
  <c r="H53"/>
  <c r="S53"/>
  <c r="J53" i="6"/>
  <c r="M114" i="12"/>
  <c r="P119"/>
  <c r="I174"/>
  <c r="O119"/>
  <c r="I137"/>
  <c r="E138"/>
  <c r="I138"/>
  <c r="J143" i="16"/>
  <c r="J81" i="6"/>
  <c r="I156" i="12"/>
  <c r="G143" i="16"/>
  <c r="G145" s="1"/>
  <c r="T72"/>
  <c r="R53"/>
  <c r="U72"/>
  <c r="U17"/>
  <c r="S11"/>
  <c r="T39"/>
  <c r="U39"/>
  <c r="U44"/>
  <c r="T41"/>
  <c r="U41"/>
  <c r="S106"/>
  <c r="H137"/>
  <c r="S137"/>
  <c r="T115"/>
  <c r="G194" i="12"/>
  <c r="I158"/>
  <c r="G163"/>
  <c r="G24" i="11" s="1"/>
  <c r="K194" i="12"/>
  <c r="M158"/>
  <c r="C194"/>
  <c r="E158"/>
  <c r="P158"/>
  <c r="T44" i="16"/>
  <c r="P81"/>
  <c r="K192" i="12"/>
  <c r="M156"/>
  <c r="H81" i="16"/>
  <c r="S81"/>
  <c r="T76"/>
  <c r="U76"/>
  <c r="L163" i="12"/>
  <c r="L24" i="11" s="1"/>
  <c r="H163" i="12"/>
  <c r="H24" i="11" s="1"/>
  <c r="I155" i="12"/>
  <c r="T36" i="16"/>
  <c r="U36"/>
  <c r="M155" i="12"/>
  <c r="O155"/>
  <c r="P51" i="16"/>
  <c r="P155" i="12"/>
  <c r="R155" s="1"/>
  <c r="T38" i="16"/>
  <c r="U38"/>
  <c r="T26"/>
  <c r="P156" i="12"/>
  <c r="E156"/>
  <c r="R11" i="16"/>
  <c r="U11" s="1"/>
  <c r="R51"/>
  <c r="U26"/>
  <c r="D163" i="12"/>
  <c r="T46" i="16"/>
  <c r="H51"/>
  <c r="T141" i="15"/>
  <c r="U141"/>
  <c r="U43"/>
  <c r="K11" i="6"/>
  <c r="N143" i="15"/>
  <c r="T134"/>
  <c r="U35"/>
  <c r="T130"/>
  <c r="T8"/>
  <c r="K51" i="6"/>
  <c r="U25" i="15"/>
  <c r="J11" i="13"/>
  <c r="J51"/>
  <c r="J143" s="1"/>
  <c r="F145" s="1"/>
  <c r="G108" i="12"/>
  <c r="S11" i="15"/>
  <c r="T14"/>
  <c r="G143"/>
  <c r="T24"/>
  <c r="T32"/>
  <c r="H143" i="12"/>
  <c r="T44" i="15"/>
  <c r="T110"/>
  <c r="T112"/>
  <c r="U45"/>
  <c r="E137" i="12"/>
  <c r="T140" i="15"/>
  <c r="U17"/>
  <c r="T50"/>
  <c r="U29"/>
  <c r="U13"/>
  <c r="T42"/>
  <c r="H11"/>
  <c r="T26"/>
  <c r="O131" i="12"/>
  <c r="Q131" s="1"/>
  <c r="U39" i="15"/>
  <c r="P106"/>
  <c r="T118"/>
  <c r="U121"/>
  <c r="L137"/>
  <c r="R137"/>
  <c r="U119"/>
  <c r="F106"/>
  <c r="P51"/>
  <c r="T38"/>
  <c r="L11"/>
  <c r="T30"/>
  <c r="T46"/>
  <c r="J83" i="6"/>
  <c r="T55" i="15"/>
  <c r="U56"/>
  <c r="T57"/>
  <c r="U58"/>
  <c r="T59"/>
  <c r="U62"/>
  <c r="T63"/>
  <c r="U64"/>
  <c r="T65"/>
  <c r="T69"/>
  <c r="T75"/>
  <c r="U76"/>
  <c r="T79"/>
  <c r="U80"/>
  <c r="P104"/>
  <c r="T86"/>
  <c r="U87"/>
  <c r="T88"/>
  <c r="U89"/>
  <c r="U93"/>
  <c r="U95"/>
  <c r="T96"/>
  <c r="U97"/>
  <c r="T102"/>
  <c r="P11"/>
  <c r="R11"/>
  <c r="L51"/>
  <c r="R51"/>
  <c r="U14"/>
  <c r="T15"/>
  <c r="U16"/>
  <c r="T17"/>
  <c r="U20"/>
  <c r="T21"/>
  <c r="U24"/>
  <c r="T25"/>
  <c r="U26"/>
  <c r="T29"/>
  <c r="U30"/>
  <c r="U32"/>
  <c r="T35"/>
  <c r="U36"/>
  <c r="T37"/>
  <c r="U38"/>
  <c r="T39"/>
  <c r="T41"/>
  <c r="U42"/>
  <c r="T43"/>
  <c r="U44"/>
  <c r="T45"/>
  <c r="U46"/>
  <c r="U50"/>
  <c r="S53"/>
  <c r="H81"/>
  <c r="P81"/>
  <c r="S81"/>
  <c r="T56"/>
  <c r="U57"/>
  <c r="T58"/>
  <c r="U59"/>
  <c r="T62"/>
  <c r="U63"/>
  <c r="U65"/>
  <c r="T68"/>
  <c r="U69"/>
  <c r="U75"/>
  <c r="T76"/>
  <c r="U77"/>
  <c r="T78"/>
  <c r="U79"/>
  <c r="T80"/>
  <c r="U86"/>
  <c r="U88"/>
  <c r="T89"/>
  <c r="T93"/>
  <c r="U94"/>
  <c r="T95"/>
  <c r="U96"/>
  <c r="T97"/>
  <c r="U98"/>
  <c r="T101"/>
  <c r="U102"/>
  <c r="T103"/>
  <c r="L106"/>
  <c r="T109"/>
  <c r="U110"/>
  <c r="T111"/>
  <c r="U112"/>
  <c r="T113"/>
  <c r="T115"/>
  <c r="U118"/>
  <c r="T119"/>
  <c r="T121"/>
  <c r="T129"/>
  <c r="U130"/>
  <c r="T131"/>
  <c r="U134"/>
  <c r="T135"/>
  <c r="U136"/>
  <c r="E130" i="12"/>
  <c r="I130"/>
  <c r="U140" i="15"/>
  <c r="U126"/>
  <c r="T126"/>
  <c r="T40"/>
  <c r="I131" i="12"/>
  <c r="U40" i="15"/>
  <c r="U68"/>
  <c r="T120"/>
  <c r="R106"/>
  <c r="U120"/>
  <c r="T71"/>
  <c r="U71"/>
  <c r="T31"/>
  <c r="U31"/>
  <c r="T36"/>
  <c r="U37"/>
  <c r="T70"/>
  <c r="U70"/>
  <c r="T16"/>
  <c r="E131" i="12"/>
  <c r="I132"/>
  <c r="T72" i="15"/>
  <c r="U72"/>
  <c r="T64"/>
  <c r="P137"/>
  <c r="L81"/>
  <c r="L139" i="12"/>
  <c r="L21" i="11" s="1"/>
  <c r="T87" i="15"/>
  <c r="H83"/>
  <c r="S106"/>
  <c r="S137"/>
  <c r="U137" s="1"/>
  <c r="T125"/>
  <c r="H137"/>
  <c r="H106"/>
  <c r="U101"/>
  <c r="L100" i="13"/>
  <c r="L83" s="1"/>
  <c r="T94" i="15"/>
  <c r="U114"/>
  <c r="U78"/>
  <c r="U53"/>
  <c r="P132" i="12"/>
  <c r="T77" i="15"/>
  <c r="I134" i="12"/>
  <c r="H139"/>
  <c r="H21" i="11" s="1"/>
  <c r="P134" i="12"/>
  <c r="U124" i="15"/>
  <c r="T92"/>
  <c r="L104"/>
  <c r="L143" s="1"/>
  <c r="L83"/>
  <c r="R104"/>
  <c r="U92"/>
  <c r="E132" i="12"/>
  <c r="H53" i="15"/>
  <c r="H51"/>
  <c r="T20"/>
  <c r="U103"/>
  <c r="T49"/>
  <c r="U49"/>
  <c r="I133" i="12"/>
  <c r="G139"/>
  <c r="G21" i="11" s="1"/>
  <c r="E133" i="12"/>
  <c r="O133"/>
  <c r="P133"/>
  <c r="D139"/>
  <c r="D21" i="11" s="1"/>
  <c r="F143" i="15"/>
  <c r="F145" s="1"/>
  <c r="S83"/>
  <c r="U83" s="1"/>
  <c r="H104"/>
  <c r="S104"/>
  <c r="T98"/>
  <c r="P195" i="12"/>
  <c r="P197"/>
  <c r="T140" i="14"/>
  <c r="T141"/>
  <c r="U141"/>
  <c r="L51" i="13"/>
  <c r="M118" i="12"/>
  <c r="M123"/>
  <c r="G143" i="14"/>
  <c r="J143"/>
  <c r="M143"/>
  <c r="O143"/>
  <c r="R83"/>
  <c r="L137"/>
  <c r="R137"/>
  <c r="P106"/>
  <c r="U109"/>
  <c r="U111"/>
  <c r="T112"/>
  <c r="T118"/>
  <c r="U119"/>
  <c r="T120"/>
  <c r="U121"/>
  <c r="T124"/>
  <c r="U125"/>
  <c r="T126"/>
  <c r="U129"/>
  <c r="U131"/>
  <c r="T134"/>
  <c r="U135"/>
  <c r="T136"/>
  <c r="M124" i="12"/>
  <c r="U113" i="14"/>
  <c r="T114"/>
  <c r="U115"/>
  <c r="P11"/>
  <c r="L53"/>
  <c r="R53"/>
  <c r="P53"/>
  <c r="U13"/>
  <c r="L11"/>
  <c r="T14"/>
  <c r="U15"/>
  <c r="U21"/>
  <c r="T26"/>
  <c r="U29"/>
  <c r="T30"/>
  <c r="U35"/>
  <c r="T36"/>
  <c r="U37"/>
  <c r="U39"/>
  <c r="U41"/>
  <c r="T42"/>
  <c r="U43"/>
  <c r="T44"/>
  <c r="U45"/>
  <c r="T46"/>
  <c r="U49"/>
  <c r="T50"/>
  <c r="P81"/>
  <c r="T56"/>
  <c r="U57"/>
  <c r="U59"/>
  <c r="U63"/>
  <c r="T64"/>
  <c r="U65"/>
  <c r="T68"/>
  <c r="U69"/>
  <c r="T70"/>
  <c r="U71"/>
  <c r="U75"/>
  <c r="T76"/>
  <c r="U77"/>
  <c r="T78"/>
  <c r="U79"/>
  <c r="T80"/>
  <c r="L104"/>
  <c r="R104"/>
  <c r="H83"/>
  <c r="U86"/>
  <c r="T87"/>
  <c r="U88"/>
  <c r="T89"/>
  <c r="U92"/>
  <c r="T93"/>
  <c r="U94"/>
  <c r="T95"/>
  <c r="U96"/>
  <c r="T97"/>
  <c r="U98"/>
  <c r="U102"/>
  <c r="T103"/>
  <c r="L106"/>
  <c r="M122" i="12"/>
  <c r="R106" i="14"/>
  <c r="T8"/>
  <c r="L51"/>
  <c r="U14"/>
  <c r="T15"/>
  <c r="S11"/>
  <c r="T17"/>
  <c r="T21"/>
  <c r="U24"/>
  <c r="T25"/>
  <c r="U26"/>
  <c r="T29"/>
  <c r="U30"/>
  <c r="U32"/>
  <c r="T35"/>
  <c r="U36"/>
  <c r="T37"/>
  <c r="T39"/>
  <c r="T41"/>
  <c r="U42"/>
  <c r="T43"/>
  <c r="U44"/>
  <c r="T45"/>
  <c r="U46"/>
  <c r="T49"/>
  <c r="U50"/>
  <c r="L81"/>
  <c r="U56"/>
  <c r="T57"/>
  <c r="T59"/>
  <c r="T63"/>
  <c r="U64"/>
  <c r="T65"/>
  <c r="U68"/>
  <c r="T69"/>
  <c r="U70"/>
  <c r="T71"/>
  <c r="U76"/>
  <c r="T77"/>
  <c r="U78"/>
  <c r="T79"/>
  <c r="U80"/>
  <c r="L83"/>
  <c r="S83"/>
  <c r="P104"/>
  <c r="S104"/>
  <c r="U104" s="1"/>
  <c r="T86"/>
  <c r="U87"/>
  <c r="T88"/>
  <c r="U89"/>
  <c r="T92"/>
  <c r="U93"/>
  <c r="T94"/>
  <c r="U95"/>
  <c r="T96"/>
  <c r="U97"/>
  <c r="T98"/>
  <c r="T102"/>
  <c r="U103"/>
  <c r="S106"/>
  <c r="P137"/>
  <c r="S137"/>
  <c r="T111"/>
  <c r="U112"/>
  <c r="T113"/>
  <c r="U114"/>
  <c r="T115"/>
  <c r="U118"/>
  <c r="T119"/>
  <c r="U120"/>
  <c r="T121"/>
  <c r="U124"/>
  <c r="T125"/>
  <c r="U126"/>
  <c r="T129"/>
  <c r="T131"/>
  <c r="U134"/>
  <c r="T135"/>
  <c r="U140"/>
  <c r="U136"/>
  <c r="U20"/>
  <c r="T20"/>
  <c r="T75"/>
  <c r="U58"/>
  <c r="T58"/>
  <c r="S53"/>
  <c r="U53" s="1"/>
  <c r="U25"/>
  <c r="T32"/>
  <c r="H146" i="12"/>
  <c r="T109" i="14"/>
  <c r="H137"/>
  <c r="U17"/>
  <c r="H11"/>
  <c r="P122" i="12"/>
  <c r="H106" i="14"/>
  <c r="T72"/>
  <c r="U72"/>
  <c r="H81"/>
  <c r="S81"/>
  <c r="T62"/>
  <c r="U62"/>
  <c r="T130"/>
  <c r="U130"/>
  <c r="M121" i="12"/>
  <c r="H127"/>
  <c r="H20" i="11" s="1"/>
  <c r="G127" i="12"/>
  <c r="G20" i="11" s="1"/>
  <c r="O121" i="12"/>
  <c r="T101" i="14"/>
  <c r="U101"/>
  <c r="P83"/>
  <c r="L145" i="12"/>
  <c r="P121"/>
  <c r="T24" i="14"/>
  <c r="M120" i="12"/>
  <c r="L127"/>
  <c r="L20" i="11" s="1"/>
  <c r="L144" i="12"/>
  <c r="T31" i="14"/>
  <c r="U31"/>
  <c r="T40"/>
  <c r="U40"/>
  <c r="L143" i="12"/>
  <c r="P51" i="14"/>
  <c r="M119" i="12"/>
  <c r="T38" i="14"/>
  <c r="U38"/>
  <c r="T110"/>
  <c r="F143"/>
  <c r="F145" s="1"/>
  <c r="U110"/>
  <c r="P120" i="12"/>
  <c r="C144"/>
  <c r="H53" i="14"/>
  <c r="T55"/>
  <c r="D127" i="12"/>
  <c r="P127" s="1"/>
  <c r="H104" i="14"/>
  <c r="H51"/>
  <c r="T16"/>
  <c r="R11"/>
  <c r="R51"/>
  <c r="U16"/>
  <c r="C143" i="12"/>
  <c r="I191"/>
  <c r="I195"/>
  <c r="I196"/>
  <c r="M195"/>
  <c r="M196"/>
  <c r="M197"/>
  <c r="P114"/>
  <c r="T141" i="13"/>
  <c r="U141"/>
  <c r="R106"/>
  <c r="E112" i="12"/>
  <c r="M106"/>
  <c r="O111"/>
  <c r="P53" i="13"/>
  <c r="J11" i="6"/>
  <c r="J51"/>
  <c r="I143" i="13"/>
  <c r="M143"/>
  <c r="Q143"/>
  <c r="M108" i="12"/>
  <c r="M109"/>
  <c r="M111"/>
  <c r="M112"/>
  <c r="P51" i="13"/>
  <c r="L106"/>
  <c r="U89"/>
  <c r="T92"/>
  <c r="U93"/>
  <c r="T94"/>
  <c r="U95"/>
  <c r="T96"/>
  <c r="T98"/>
  <c r="U101"/>
  <c r="T102"/>
  <c r="U103"/>
  <c r="T109"/>
  <c r="U110"/>
  <c r="T111"/>
  <c r="U112"/>
  <c r="T113"/>
  <c r="U114"/>
  <c r="T115"/>
  <c r="U118"/>
  <c r="U124"/>
  <c r="T125"/>
  <c r="U126"/>
  <c r="T129"/>
  <c r="H106"/>
  <c r="T131"/>
  <c r="U134"/>
  <c r="T135"/>
  <c r="U136"/>
  <c r="U140"/>
  <c r="I107" i="12"/>
  <c r="U130" i="13"/>
  <c r="S137"/>
  <c r="U137" s="1"/>
  <c r="I110" i="12"/>
  <c r="T119" i="13"/>
  <c r="T121"/>
  <c r="M110" i="12"/>
  <c r="U120" i="13"/>
  <c r="M107" i="12"/>
  <c r="H51" i="13"/>
  <c r="O107" i="12"/>
  <c r="L53" i="13"/>
  <c r="S53"/>
  <c r="L146" i="12"/>
  <c r="L115"/>
  <c r="L19" i="11" s="1"/>
  <c r="P110" i="12"/>
  <c r="H144"/>
  <c r="P108"/>
  <c r="I108"/>
  <c r="G115"/>
  <c r="G19" i="11" s="1"/>
  <c r="H53" i="13"/>
  <c r="S81"/>
  <c r="C145" i="12"/>
  <c r="O109"/>
  <c r="U97" i="13"/>
  <c r="E108" i="12"/>
  <c r="E110"/>
  <c r="T140" i="10"/>
  <c r="U140"/>
  <c r="T140" i="8"/>
  <c r="U140"/>
  <c r="T140" i="4"/>
  <c r="U140"/>
  <c r="T140" i="3"/>
  <c r="U140"/>
  <c r="T140" i="2"/>
  <c r="U140"/>
  <c r="T141" i="10"/>
  <c r="U141"/>
  <c r="T141" i="8"/>
  <c r="U141"/>
  <c r="T141" i="4"/>
  <c r="U141"/>
  <c r="T141" i="3"/>
  <c r="U141"/>
  <c r="T141" i="2"/>
  <c r="U141"/>
  <c r="M198" i="12"/>
  <c r="M113"/>
  <c r="I197"/>
  <c r="I198"/>
  <c r="O195"/>
  <c r="Q195" s="1"/>
  <c r="E195"/>
  <c r="O197"/>
  <c r="E197"/>
  <c r="P190"/>
  <c r="E190"/>
  <c r="O190"/>
  <c r="Q190" s="1"/>
  <c r="E196"/>
  <c r="O196"/>
  <c r="Q196" s="1"/>
  <c r="E198"/>
  <c r="O198"/>
  <c r="Q198" s="1"/>
  <c r="I190"/>
  <c r="M190"/>
  <c r="K199"/>
  <c r="C191"/>
  <c r="E155"/>
  <c r="R183"/>
  <c r="R185"/>
  <c r="Q183"/>
  <c r="Q185"/>
  <c r="O178"/>
  <c r="O184"/>
  <c r="Q184" s="1"/>
  <c r="O186"/>
  <c r="Q186" s="1"/>
  <c r="K187"/>
  <c r="P178"/>
  <c r="C142"/>
  <c r="R171"/>
  <c r="R173"/>
  <c r="Q173"/>
  <c r="O166"/>
  <c r="O168"/>
  <c r="O170"/>
  <c r="O172"/>
  <c r="Q172" s="1"/>
  <c r="O174"/>
  <c r="Q174" s="1"/>
  <c r="K175"/>
  <c r="P166"/>
  <c r="H11" i="16"/>
  <c r="Q161" i="12"/>
  <c r="T8" i="16"/>
  <c r="Q159" i="12"/>
  <c r="R159"/>
  <c r="R161"/>
  <c r="E114"/>
  <c r="D142"/>
  <c r="P142" s="1"/>
  <c r="D144"/>
  <c r="P144" s="1"/>
  <c r="D146"/>
  <c r="D148"/>
  <c r="O154"/>
  <c r="O156"/>
  <c r="O158"/>
  <c r="Q158" s="1"/>
  <c r="O160"/>
  <c r="Q160" s="1"/>
  <c r="O162"/>
  <c r="Q162" s="1"/>
  <c r="C163"/>
  <c r="C24" i="11" s="1"/>
  <c r="K163" i="12"/>
  <c r="I150"/>
  <c r="D143"/>
  <c r="D145"/>
  <c r="D147"/>
  <c r="P147" s="1"/>
  <c r="D149"/>
  <c r="P149" s="1"/>
  <c r="G142"/>
  <c r="I142" s="1"/>
  <c r="G143"/>
  <c r="G144"/>
  <c r="G145"/>
  <c r="G146"/>
  <c r="I146" s="1"/>
  <c r="G147"/>
  <c r="I147" s="1"/>
  <c r="G148"/>
  <c r="I148" s="1"/>
  <c r="G149"/>
  <c r="I149" s="1"/>
  <c r="K142"/>
  <c r="M142" s="1"/>
  <c r="K143"/>
  <c r="K144"/>
  <c r="M144" s="1"/>
  <c r="K145"/>
  <c r="M145" s="1"/>
  <c r="K146"/>
  <c r="K147"/>
  <c r="M147" s="1"/>
  <c r="K148"/>
  <c r="K149"/>
  <c r="M149" s="1"/>
  <c r="K150"/>
  <c r="M150" s="1"/>
  <c r="P154"/>
  <c r="E147"/>
  <c r="P148"/>
  <c r="P150"/>
  <c r="R137"/>
  <c r="M148"/>
  <c r="R135"/>
  <c r="D115"/>
  <c r="Q119"/>
  <c r="E118"/>
  <c r="I118"/>
  <c r="E119"/>
  <c r="I119"/>
  <c r="E120"/>
  <c r="I120"/>
  <c r="E121"/>
  <c r="I121"/>
  <c r="E122"/>
  <c r="I122"/>
  <c r="E123"/>
  <c r="I123"/>
  <c r="E124"/>
  <c r="I124"/>
  <c r="E125"/>
  <c r="I125"/>
  <c r="E126"/>
  <c r="I126"/>
  <c r="M130"/>
  <c r="M131"/>
  <c r="M132"/>
  <c r="Q133"/>
  <c r="M133"/>
  <c r="M134"/>
  <c r="Q135"/>
  <c r="M135"/>
  <c r="M136"/>
  <c r="M137"/>
  <c r="M138"/>
  <c r="Q137"/>
  <c r="O130"/>
  <c r="O132"/>
  <c r="Q132" s="1"/>
  <c r="O136"/>
  <c r="Q136" s="1"/>
  <c r="O138"/>
  <c r="Q138" s="1"/>
  <c r="K139"/>
  <c r="P130"/>
  <c r="R123"/>
  <c r="I127"/>
  <c r="R125"/>
  <c r="Q121"/>
  <c r="R119"/>
  <c r="R121"/>
  <c r="Q123"/>
  <c r="Q125"/>
  <c r="O118"/>
  <c r="O120"/>
  <c r="Q120" s="1"/>
  <c r="O122"/>
  <c r="O124"/>
  <c r="Q124" s="1"/>
  <c r="O126"/>
  <c r="Q126" s="1"/>
  <c r="C127"/>
  <c r="C20" i="11" s="1"/>
  <c r="K127" i="12"/>
  <c r="P118"/>
  <c r="Q107"/>
  <c r="R107"/>
  <c r="R111"/>
  <c r="R113"/>
  <c r="Q111"/>
  <c r="Q113"/>
  <c r="I106"/>
  <c r="O106"/>
  <c r="E107"/>
  <c r="O108"/>
  <c r="Q108" s="1"/>
  <c r="E109"/>
  <c r="O110"/>
  <c r="E111"/>
  <c r="O112"/>
  <c r="Q112" s="1"/>
  <c r="E113"/>
  <c r="O114"/>
  <c r="Q114" s="1"/>
  <c r="C115"/>
  <c r="C19" i="11" s="1"/>
  <c r="K115" i="12"/>
  <c r="P106"/>
  <c r="U8" i="18"/>
  <c r="H11"/>
  <c r="P11"/>
  <c r="R11"/>
  <c r="T13"/>
  <c r="S51"/>
  <c r="U55"/>
  <c r="R81"/>
  <c r="T85"/>
  <c r="T108"/>
  <c r="U85"/>
  <c r="U108"/>
  <c r="T81" i="17"/>
  <c r="U137"/>
  <c r="U8"/>
  <c r="T13"/>
  <c r="S51"/>
  <c r="U55"/>
  <c r="R81"/>
  <c r="U81" s="1"/>
  <c r="T85"/>
  <c r="T108"/>
  <c r="U85"/>
  <c r="U108"/>
  <c r="T81" i="16"/>
  <c r="P143"/>
  <c r="U8"/>
  <c r="T13"/>
  <c r="S51"/>
  <c r="U51" s="1"/>
  <c r="U55"/>
  <c r="R81"/>
  <c r="T85"/>
  <c r="T108"/>
  <c r="U85"/>
  <c r="U108"/>
  <c r="U104" i="15"/>
  <c r="T53"/>
  <c r="T81"/>
  <c r="P143"/>
  <c r="G145"/>
  <c r="U8"/>
  <c r="T13"/>
  <c r="S51"/>
  <c r="U55"/>
  <c r="R81"/>
  <c r="U81" s="1"/>
  <c r="T85"/>
  <c r="T108"/>
  <c r="U85"/>
  <c r="U108"/>
  <c r="H143" i="14"/>
  <c r="G145"/>
  <c r="U8"/>
  <c r="T13"/>
  <c r="S51"/>
  <c r="U55"/>
  <c r="R81"/>
  <c r="U81" s="1"/>
  <c r="T85"/>
  <c r="T108"/>
  <c r="U85"/>
  <c r="U108"/>
  <c r="P104" i="13"/>
  <c r="P137"/>
  <c r="S51"/>
  <c r="L11"/>
  <c r="R11"/>
  <c r="U11" s="1"/>
  <c r="U15"/>
  <c r="T16"/>
  <c r="U17"/>
  <c r="T20"/>
  <c r="U21"/>
  <c r="T24"/>
  <c r="U25"/>
  <c r="T26"/>
  <c r="U29"/>
  <c r="T30"/>
  <c r="U31"/>
  <c r="T32"/>
  <c r="U35"/>
  <c r="T36"/>
  <c r="U37"/>
  <c r="T38"/>
  <c r="U39"/>
  <c r="T40"/>
  <c r="U41"/>
  <c r="T42"/>
  <c r="U43"/>
  <c r="T44"/>
  <c r="U45"/>
  <c r="T46"/>
  <c r="U49"/>
  <c r="T50"/>
  <c r="T55"/>
  <c r="U56"/>
  <c r="T57"/>
  <c r="U58"/>
  <c r="T59"/>
  <c r="U62"/>
  <c r="T63"/>
  <c r="U64"/>
  <c r="T65"/>
  <c r="U68"/>
  <c r="T69"/>
  <c r="U70"/>
  <c r="T71"/>
  <c r="U72"/>
  <c r="T75"/>
  <c r="U76"/>
  <c r="T77"/>
  <c r="T79"/>
  <c r="U80"/>
  <c r="L104"/>
  <c r="T103"/>
  <c r="L137"/>
  <c r="R137"/>
  <c r="H137"/>
  <c r="S106"/>
  <c r="U106" s="1"/>
  <c r="T110"/>
  <c r="U111"/>
  <c r="T112"/>
  <c r="U113"/>
  <c r="T114"/>
  <c r="U115"/>
  <c r="T118"/>
  <c r="U119"/>
  <c r="T120"/>
  <c r="U121"/>
  <c r="T124"/>
  <c r="U125"/>
  <c r="T126"/>
  <c r="U129"/>
  <c r="T130"/>
  <c r="U131"/>
  <c r="T134"/>
  <c r="U135"/>
  <c r="R104"/>
  <c r="U104" s="1"/>
  <c r="H104"/>
  <c r="S83"/>
  <c r="U83" s="1"/>
  <c r="T87"/>
  <c r="U88"/>
  <c r="T89"/>
  <c r="U92"/>
  <c r="T93"/>
  <c r="U94"/>
  <c r="T95"/>
  <c r="U96"/>
  <c r="T97"/>
  <c r="U98"/>
  <c r="T101"/>
  <c r="U102"/>
  <c r="R53"/>
  <c r="U53" s="1"/>
  <c r="U57"/>
  <c r="U59"/>
  <c r="T62"/>
  <c r="U63"/>
  <c r="T64"/>
  <c r="U65"/>
  <c r="T68"/>
  <c r="U69"/>
  <c r="T70"/>
  <c r="U71"/>
  <c r="T72"/>
  <c r="U75"/>
  <c r="T76"/>
  <c r="U77"/>
  <c r="U79"/>
  <c r="T80"/>
  <c r="U78"/>
  <c r="R51"/>
  <c r="U51" s="1"/>
  <c r="U14"/>
  <c r="T15"/>
  <c r="U16"/>
  <c r="T17"/>
  <c r="U20"/>
  <c r="T21"/>
  <c r="U24"/>
  <c r="T25"/>
  <c r="U26"/>
  <c r="T29"/>
  <c r="U30"/>
  <c r="T31"/>
  <c r="U32"/>
  <c r="T35"/>
  <c r="U36"/>
  <c r="T37"/>
  <c r="U38"/>
  <c r="T39"/>
  <c r="U40"/>
  <c r="T41"/>
  <c r="U42"/>
  <c r="T43"/>
  <c r="U44"/>
  <c r="T45"/>
  <c r="U46"/>
  <c r="T49"/>
  <c r="U50"/>
  <c r="H8"/>
  <c r="R8"/>
  <c r="U13"/>
  <c r="T14"/>
  <c r="U55"/>
  <c r="T56"/>
  <c r="T53" s="1"/>
  <c r="H81"/>
  <c r="L81"/>
  <c r="L143" s="1"/>
  <c r="P81"/>
  <c r="P143" s="1"/>
  <c r="R81"/>
  <c r="U81" s="1"/>
  <c r="T85"/>
  <c r="U86"/>
  <c r="T108"/>
  <c r="U109"/>
  <c r="N143"/>
  <c r="S8"/>
  <c r="H11"/>
  <c r="P11"/>
  <c r="T13"/>
  <c r="U85"/>
  <c r="U108"/>
  <c r="C85" i="12"/>
  <c r="C84"/>
  <c r="C83"/>
  <c r="O83" s="1"/>
  <c r="C82"/>
  <c r="M90"/>
  <c r="I90"/>
  <c r="P90"/>
  <c r="E90"/>
  <c r="M89"/>
  <c r="I89"/>
  <c r="P89"/>
  <c r="O89"/>
  <c r="M88"/>
  <c r="I88"/>
  <c r="P88"/>
  <c r="E88"/>
  <c r="M87"/>
  <c r="I87"/>
  <c r="P87"/>
  <c r="O87"/>
  <c r="M86"/>
  <c r="I86"/>
  <c r="P86"/>
  <c r="M85"/>
  <c r="I85"/>
  <c r="P85"/>
  <c r="O85"/>
  <c r="M84"/>
  <c r="I84"/>
  <c r="P84"/>
  <c r="M83"/>
  <c r="I83"/>
  <c r="P83"/>
  <c r="L91"/>
  <c r="L16" i="11" s="1"/>
  <c r="H91" i="12"/>
  <c r="H16" i="11" s="1"/>
  <c r="G91" i="12"/>
  <c r="G16" i="11" s="1"/>
  <c r="D91" i="12"/>
  <c r="L78"/>
  <c r="K78"/>
  <c r="L77"/>
  <c r="K77"/>
  <c r="L76"/>
  <c r="K76"/>
  <c r="L75"/>
  <c r="K75"/>
  <c r="L74"/>
  <c r="K74"/>
  <c r="L73"/>
  <c r="K73"/>
  <c r="L72"/>
  <c r="K72"/>
  <c r="L71"/>
  <c r="K71"/>
  <c r="L70"/>
  <c r="K70"/>
  <c r="H78"/>
  <c r="G78"/>
  <c r="H77"/>
  <c r="G77"/>
  <c r="H76"/>
  <c r="G76"/>
  <c r="H75"/>
  <c r="G75"/>
  <c r="H74"/>
  <c r="G74"/>
  <c r="H73"/>
  <c r="I73" s="1"/>
  <c r="G73"/>
  <c r="H72"/>
  <c r="I72" s="1"/>
  <c r="G72"/>
  <c r="H71"/>
  <c r="I71" s="1"/>
  <c r="G71"/>
  <c r="H70"/>
  <c r="H79" s="1"/>
  <c r="H15" i="11" s="1"/>
  <c r="G70" i="12"/>
  <c r="D78"/>
  <c r="P78" s="1"/>
  <c r="D77"/>
  <c r="D76"/>
  <c r="P76" s="1"/>
  <c r="D75"/>
  <c r="D73"/>
  <c r="D72"/>
  <c r="D71"/>
  <c r="D70"/>
  <c r="C78"/>
  <c r="C77"/>
  <c r="O77" s="1"/>
  <c r="C76"/>
  <c r="E76" s="1"/>
  <c r="C75"/>
  <c r="O75" s="1"/>
  <c r="C73"/>
  <c r="O73" s="1"/>
  <c r="C72"/>
  <c r="C71"/>
  <c r="O71" s="1"/>
  <c r="C70"/>
  <c r="M78"/>
  <c r="M77"/>
  <c r="I76"/>
  <c r="M74"/>
  <c r="M73"/>
  <c r="E72"/>
  <c r="L79"/>
  <c r="L15" i="11" s="1"/>
  <c r="G79" i="12"/>
  <c r="E70"/>
  <c r="L66"/>
  <c r="K66"/>
  <c r="L65"/>
  <c r="K65"/>
  <c r="L64"/>
  <c r="K64"/>
  <c r="L63"/>
  <c r="K63"/>
  <c r="L62"/>
  <c r="K62"/>
  <c r="L61"/>
  <c r="K61"/>
  <c r="L60"/>
  <c r="K60"/>
  <c r="L59"/>
  <c r="K59"/>
  <c r="L58"/>
  <c r="K58"/>
  <c r="K94" s="1"/>
  <c r="H66"/>
  <c r="G66"/>
  <c r="G102" s="1"/>
  <c r="H65"/>
  <c r="G65"/>
  <c r="G101" s="1"/>
  <c r="H64"/>
  <c r="G64"/>
  <c r="G100" s="1"/>
  <c r="H63"/>
  <c r="G63"/>
  <c r="G99" s="1"/>
  <c r="H62"/>
  <c r="G62"/>
  <c r="G98" s="1"/>
  <c r="H61"/>
  <c r="G61"/>
  <c r="G97" s="1"/>
  <c r="H60"/>
  <c r="G60"/>
  <c r="G96" s="1"/>
  <c r="H59"/>
  <c r="G59"/>
  <c r="G95" s="1"/>
  <c r="H58"/>
  <c r="G58"/>
  <c r="G94" s="1"/>
  <c r="D66"/>
  <c r="D65"/>
  <c r="D64"/>
  <c r="D63"/>
  <c r="D62"/>
  <c r="D61"/>
  <c r="D60"/>
  <c r="D59"/>
  <c r="D58"/>
  <c r="C66"/>
  <c r="C102" s="1"/>
  <c r="C65"/>
  <c r="C64"/>
  <c r="C100" s="1"/>
  <c r="C63"/>
  <c r="C62"/>
  <c r="C61"/>
  <c r="C60"/>
  <c r="C96" s="1"/>
  <c r="C59"/>
  <c r="C58"/>
  <c r="C94" s="1"/>
  <c r="P66"/>
  <c r="I64"/>
  <c r="P64"/>
  <c r="P62"/>
  <c r="P60"/>
  <c r="L67"/>
  <c r="L14" i="11" s="1"/>
  <c r="M58" i="12"/>
  <c r="H67"/>
  <c r="H14" i="11" s="1"/>
  <c r="L42" i="12"/>
  <c r="K42"/>
  <c r="L41"/>
  <c r="K41"/>
  <c r="L40"/>
  <c r="K40"/>
  <c r="L39"/>
  <c r="K39"/>
  <c r="L38"/>
  <c r="L37"/>
  <c r="K37"/>
  <c r="L36"/>
  <c r="K36"/>
  <c r="L35"/>
  <c r="K35"/>
  <c r="L34"/>
  <c r="K34"/>
  <c r="H42"/>
  <c r="G42"/>
  <c r="H41"/>
  <c r="G41"/>
  <c r="H40"/>
  <c r="G40"/>
  <c r="H39"/>
  <c r="P39" s="1"/>
  <c r="G39"/>
  <c r="H37"/>
  <c r="G37"/>
  <c r="H36"/>
  <c r="P36" s="1"/>
  <c r="G36"/>
  <c r="H35"/>
  <c r="G35"/>
  <c r="H34"/>
  <c r="G34"/>
  <c r="D42"/>
  <c r="P42" s="1"/>
  <c r="D41"/>
  <c r="D40"/>
  <c r="P40" s="1"/>
  <c r="D39"/>
  <c r="D37"/>
  <c r="P37" s="1"/>
  <c r="D36"/>
  <c r="D35"/>
  <c r="P35" s="1"/>
  <c r="D34"/>
  <c r="C42"/>
  <c r="C41"/>
  <c r="O41" s="1"/>
  <c r="C40"/>
  <c r="C39"/>
  <c r="O39" s="1"/>
  <c r="C37"/>
  <c r="C36"/>
  <c r="C35"/>
  <c r="C34"/>
  <c r="M42"/>
  <c r="M41"/>
  <c r="M40"/>
  <c r="M39"/>
  <c r="M37"/>
  <c r="M36"/>
  <c r="M35"/>
  <c r="L43"/>
  <c r="L11" i="11" s="1"/>
  <c r="L30" i="12"/>
  <c r="K30"/>
  <c r="L29"/>
  <c r="K29"/>
  <c r="L28"/>
  <c r="K28"/>
  <c r="L27"/>
  <c r="K27"/>
  <c r="L26"/>
  <c r="K26"/>
  <c r="L25"/>
  <c r="K25"/>
  <c r="L24"/>
  <c r="K24"/>
  <c r="L23"/>
  <c r="K23"/>
  <c r="L22"/>
  <c r="K22"/>
  <c r="H30"/>
  <c r="G30"/>
  <c r="H29"/>
  <c r="G29"/>
  <c r="H28"/>
  <c r="G28"/>
  <c r="H27"/>
  <c r="G27"/>
  <c r="H26"/>
  <c r="G26"/>
  <c r="H25"/>
  <c r="G25"/>
  <c r="H24"/>
  <c r="G24"/>
  <c r="H23"/>
  <c r="G23"/>
  <c r="H22"/>
  <c r="H31" s="1"/>
  <c r="H10" i="11" s="1"/>
  <c r="G22" i="12"/>
  <c r="D30"/>
  <c r="D29"/>
  <c r="D28"/>
  <c r="P28" s="1"/>
  <c r="D27"/>
  <c r="D25"/>
  <c r="D24"/>
  <c r="D23"/>
  <c r="D22"/>
  <c r="C30"/>
  <c r="C29"/>
  <c r="O29" s="1"/>
  <c r="C28"/>
  <c r="C27"/>
  <c r="O27" s="1"/>
  <c r="C25"/>
  <c r="O25" s="1"/>
  <c r="C24"/>
  <c r="C23"/>
  <c r="O23" s="1"/>
  <c r="C22"/>
  <c r="M30"/>
  <c r="M29"/>
  <c r="P29"/>
  <c r="I28"/>
  <c r="M27"/>
  <c r="P27"/>
  <c r="I26"/>
  <c r="I25"/>
  <c r="M24"/>
  <c r="L31"/>
  <c r="L10" i="11" s="1"/>
  <c r="G31" i="12"/>
  <c r="G10" i="11" s="1"/>
  <c r="L18" i="12"/>
  <c r="L54" s="1"/>
  <c r="K18"/>
  <c r="K54" s="1"/>
  <c r="L17"/>
  <c r="L53" s="1"/>
  <c r="K17"/>
  <c r="K53" s="1"/>
  <c r="L16"/>
  <c r="L52" s="1"/>
  <c r="K16"/>
  <c r="L15"/>
  <c r="L51" s="1"/>
  <c r="K15"/>
  <c r="L14"/>
  <c r="L50" s="1"/>
  <c r="K14"/>
  <c r="L13"/>
  <c r="L49" s="1"/>
  <c r="K13"/>
  <c r="L12"/>
  <c r="L48" s="1"/>
  <c r="K12"/>
  <c r="L11"/>
  <c r="L47" s="1"/>
  <c r="K11"/>
  <c r="L10"/>
  <c r="L19" s="1"/>
  <c r="L9" i="11" s="1"/>
  <c r="L12" s="1"/>
  <c r="K10" i="12"/>
  <c r="H18"/>
  <c r="H54" s="1"/>
  <c r="G18"/>
  <c r="H17"/>
  <c r="H53" s="1"/>
  <c r="G17"/>
  <c r="H16"/>
  <c r="H52" s="1"/>
  <c r="G16"/>
  <c r="H15"/>
  <c r="H51" s="1"/>
  <c r="G15"/>
  <c r="H14"/>
  <c r="G14"/>
  <c r="H13"/>
  <c r="H49" s="1"/>
  <c r="G13"/>
  <c r="H12"/>
  <c r="H48" s="1"/>
  <c r="G12"/>
  <c r="H11"/>
  <c r="H47" s="1"/>
  <c r="G11"/>
  <c r="H10"/>
  <c r="H19" s="1"/>
  <c r="H9" i="11" s="1"/>
  <c r="G10" i="12"/>
  <c r="D18"/>
  <c r="P18" s="1"/>
  <c r="D17"/>
  <c r="D16"/>
  <c r="P16" s="1"/>
  <c r="D15"/>
  <c r="D13"/>
  <c r="D12"/>
  <c r="D11"/>
  <c r="D10"/>
  <c r="C18"/>
  <c r="O18" s="1"/>
  <c r="C17"/>
  <c r="O17" s="1"/>
  <c r="C16"/>
  <c r="O16" s="1"/>
  <c r="C15"/>
  <c r="O15" s="1"/>
  <c r="C14"/>
  <c r="O14" s="1"/>
  <c r="C13"/>
  <c r="O13" s="1"/>
  <c r="C12"/>
  <c r="C11"/>
  <c r="O11" s="1"/>
  <c r="C10"/>
  <c r="F201"/>
  <c r="J201"/>
  <c r="N27" i="11"/>
  <c r="J27"/>
  <c r="F27"/>
  <c r="N22"/>
  <c r="J22"/>
  <c r="F22"/>
  <c r="L22"/>
  <c r="G22"/>
  <c r="N17"/>
  <c r="J17"/>
  <c r="J29" s="1"/>
  <c r="F17"/>
  <c r="F29" s="1"/>
  <c r="I23" i="12" l="1"/>
  <c r="I24"/>
  <c r="P41"/>
  <c r="O59"/>
  <c r="I60"/>
  <c r="D194"/>
  <c r="L175"/>
  <c r="L25" i="11" s="1"/>
  <c r="C193" i="12"/>
  <c r="E193" s="1"/>
  <c r="I170"/>
  <c r="C175"/>
  <c r="C25" i="11" s="1"/>
  <c r="U83" i="18"/>
  <c r="U104"/>
  <c r="U11"/>
  <c r="U51"/>
  <c r="Q179" i="12"/>
  <c r="P191"/>
  <c r="M191"/>
  <c r="T81" i="18"/>
  <c r="F145"/>
  <c r="U81"/>
  <c r="O180" i="12"/>
  <c r="L143" i="18"/>
  <c r="O194" i="12"/>
  <c r="H193"/>
  <c r="P193" s="1"/>
  <c r="P180"/>
  <c r="Q180" s="1"/>
  <c r="I187" i="22"/>
  <c r="G192" i="12"/>
  <c r="G199" s="1"/>
  <c r="M187" i="22"/>
  <c r="O157" i="12"/>
  <c r="U137" i="18"/>
  <c r="M182" i="12"/>
  <c r="L187"/>
  <c r="L26" i="11" s="1"/>
  <c r="L27" s="1"/>
  <c r="L194" i="12"/>
  <c r="M194" s="1"/>
  <c r="H143" i="18"/>
  <c r="E181" i="12"/>
  <c r="O181"/>
  <c r="C187"/>
  <c r="C26" i="11" s="1"/>
  <c r="D192" i="12"/>
  <c r="H145" i="18"/>
  <c r="I182" i="12"/>
  <c r="O182"/>
  <c r="E182"/>
  <c r="I180"/>
  <c r="G187"/>
  <c r="E180"/>
  <c r="R180" i="22"/>
  <c r="Q182"/>
  <c r="D187" i="12"/>
  <c r="P182"/>
  <c r="Q182" s="1"/>
  <c r="O187" i="22"/>
  <c r="Q187" s="1"/>
  <c r="E187"/>
  <c r="K163"/>
  <c r="M163" s="1"/>
  <c r="M156"/>
  <c r="Q167" i="12"/>
  <c r="U51" i="17"/>
  <c r="R167" i="12"/>
  <c r="M193"/>
  <c r="M169"/>
  <c r="I132" i="22"/>
  <c r="G144"/>
  <c r="I144" s="1"/>
  <c r="P132"/>
  <c r="D144"/>
  <c r="P144" s="1"/>
  <c r="E132"/>
  <c r="O132"/>
  <c r="C144"/>
  <c r="E168" i="12"/>
  <c r="M170"/>
  <c r="H146" i="22"/>
  <c r="H151" s="1"/>
  <c r="H201" s="1"/>
  <c r="H139"/>
  <c r="I134"/>
  <c r="G146"/>
  <c r="P134"/>
  <c r="D146"/>
  <c r="D139"/>
  <c r="P139" s="1"/>
  <c r="C134" i="12"/>
  <c r="C134" i="22"/>
  <c r="T53" i="17"/>
  <c r="U53"/>
  <c r="I168" i="12"/>
  <c r="P168"/>
  <c r="Q168" s="1"/>
  <c r="G145" i="17"/>
  <c r="H145" s="1"/>
  <c r="H192" i="12"/>
  <c r="I192" s="1"/>
  <c r="P175" i="22"/>
  <c r="H175" i="12"/>
  <c r="H25" i="11" s="1"/>
  <c r="H27" s="1"/>
  <c r="E169" i="12"/>
  <c r="O169"/>
  <c r="G175"/>
  <c r="M192"/>
  <c r="M168"/>
  <c r="I175" i="22"/>
  <c r="Q168"/>
  <c r="R168"/>
  <c r="C192" i="12"/>
  <c r="M194" i="22"/>
  <c r="K199"/>
  <c r="Q170"/>
  <c r="H194" i="12"/>
  <c r="P170"/>
  <c r="D175"/>
  <c r="O175" i="22"/>
  <c r="E175"/>
  <c r="Q170" i="12"/>
  <c r="R170" i="22"/>
  <c r="I133"/>
  <c r="G139"/>
  <c r="G145"/>
  <c r="O133"/>
  <c r="D193"/>
  <c r="P193" s="1"/>
  <c r="P157"/>
  <c r="C193"/>
  <c r="E157"/>
  <c r="O157"/>
  <c r="Q157" s="1"/>
  <c r="C194"/>
  <c r="E158"/>
  <c r="D194"/>
  <c r="P194" s="1"/>
  <c r="P158"/>
  <c r="G194"/>
  <c r="G163"/>
  <c r="I163" s="1"/>
  <c r="I158"/>
  <c r="O158"/>
  <c r="Q197" i="12"/>
  <c r="C192" i="22"/>
  <c r="E156"/>
  <c r="O156"/>
  <c r="C163"/>
  <c r="D192"/>
  <c r="D163"/>
  <c r="P163" s="1"/>
  <c r="P156"/>
  <c r="R156" s="1"/>
  <c r="U83" i="16"/>
  <c r="U104"/>
  <c r="U137"/>
  <c r="U106"/>
  <c r="O193" i="12"/>
  <c r="Q156"/>
  <c r="U53" i="16"/>
  <c r="Q157" i="12"/>
  <c r="R143" i="16"/>
  <c r="R157" i="12"/>
  <c r="F145" i="16"/>
  <c r="I163" i="12"/>
  <c r="H145" i="16"/>
  <c r="H143"/>
  <c r="I27" i="12"/>
  <c r="I29"/>
  <c r="I30"/>
  <c r="M22"/>
  <c r="M23"/>
  <c r="M25"/>
  <c r="M26"/>
  <c r="M28"/>
  <c r="O35"/>
  <c r="O37"/>
  <c r="I35"/>
  <c r="I61"/>
  <c r="O63"/>
  <c r="R197"/>
  <c r="I36"/>
  <c r="H17" i="11"/>
  <c r="I74" i="12"/>
  <c r="I75"/>
  <c r="I77"/>
  <c r="I78"/>
  <c r="M70"/>
  <c r="M72"/>
  <c r="M75"/>
  <c r="M76"/>
  <c r="R195"/>
  <c r="T53" i="16"/>
  <c r="P10" i="12"/>
  <c r="P12"/>
  <c r="I37"/>
  <c r="P72"/>
  <c r="R154"/>
  <c r="E22"/>
  <c r="P24"/>
  <c r="L151"/>
  <c r="P23"/>
  <c r="P163"/>
  <c r="E194"/>
  <c r="Q155"/>
  <c r="D24" i="11"/>
  <c r="I143" i="12"/>
  <c r="M143"/>
  <c r="R131"/>
  <c r="U51" i="15"/>
  <c r="O142" i="12"/>
  <c r="R142" s="1"/>
  <c r="U11" i="15"/>
  <c r="P21" i="11"/>
  <c r="I139" i="12"/>
  <c r="H143" i="15"/>
  <c r="O134" i="12"/>
  <c r="Q134" s="1"/>
  <c r="U106" i="15"/>
  <c r="H145"/>
  <c r="P139" i="12"/>
  <c r="R133"/>
  <c r="K99" i="6"/>
  <c r="K104" i="13"/>
  <c r="K143" s="1"/>
  <c r="G145" s="1"/>
  <c r="H145" s="1"/>
  <c r="K83"/>
  <c r="H109" i="12" s="1"/>
  <c r="R166"/>
  <c r="U137" i="14"/>
  <c r="M71" i="12"/>
  <c r="T53" i="14"/>
  <c r="U83"/>
  <c r="H145"/>
  <c r="I144" i="12"/>
  <c r="Q110"/>
  <c r="D20" i="11"/>
  <c r="P20" s="1"/>
  <c r="U106" i="14"/>
  <c r="U51"/>
  <c r="P146" i="12"/>
  <c r="E143"/>
  <c r="T81" i="14"/>
  <c r="P143"/>
  <c r="Q122" i="12"/>
  <c r="M146"/>
  <c r="P143"/>
  <c r="U11" i="14"/>
  <c r="L143"/>
  <c r="G151" i="12"/>
  <c r="O143"/>
  <c r="E145"/>
  <c r="G67"/>
  <c r="G14" i="11" s="1"/>
  <c r="I65" i="12"/>
  <c r="E30"/>
  <c r="E149"/>
  <c r="M115"/>
  <c r="K19" i="11"/>
  <c r="M19" s="1"/>
  <c r="D19"/>
  <c r="M127" i="12"/>
  <c r="K20" i="11"/>
  <c r="M139" i="12"/>
  <c r="K21" i="11"/>
  <c r="M163" i="12"/>
  <c r="K24" i="11"/>
  <c r="M175" i="12"/>
  <c r="K25" i="11"/>
  <c r="K26"/>
  <c r="R178" i="12"/>
  <c r="P25"/>
  <c r="E34"/>
  <c r="I39"/>
  <c r="I40"/>
  <c r="E36"/>
  <c r="E40"/>
  <c r="R196"/>
  <c r="O191"/>
  <c r="E191"/>
  <c r="R198"/>
  <c r="R190"/>
  <c r="E11"/>
  <c r="E42"/>
  <c r="I41"/>
  <c r="I42"/>
  <c r="R186"/>
  <c r="Q178"/>
  <c r="R184"/>
  <c r="E142"/>
  <c r="E17"/>
  <c r="M34"/>
  <c r="R174"/>
  <c r="R170"/>
  <c r="R168"/>
  <c r="Q166"/>
  <c r="R172"/>
  <c r="E15"/>
  <c r="E60"/>
  <c r="E64"/>
  <c r="L17" i="11"/>
  <c r="E78" i="12"/>
  <c r="Q154"/>
  <c r="R162"/>
  <c r="R160"/>
  <c r="R158"/>
  <c r="R156"/>
  <c r="O163"/>
  <c r="E163"/>
  <c r="P30"/>
  <c r="E18"/>
  <c r="E16"/>
  <c r="E10"/>
  <c r="P13"/>
  <c r="Q13" s="1"/>
  <c r="P15"/>
  <c r="P17"/>
  <c r="Q17" s="1"/>
  <c r="M10"/>
  <c r="M11"/>
  <c r="M12"/>
  <c r="M13"/>
  <c r="M14"/>
  <c r="M15"/>
  <c r="E24"/>
  <c r="E28"/>
  <c r="E58"/>
  <c r="I59"/>
  <c r="O61"/>
  <c r="E62"/>
  <c r="I62"/>
  <c r="I63"/>
  <c r="O65"/>
  <c r="E66"/>
  <c r="I66"/>
  <c r="C95"/>
  <c r="C97"/>
  <c r="C99"/>
  <c r="C101"/>
  <c r="D94"/>
  <c r="D96"/>
  <c r="D100"/>
  <c r="E100" s="1"/>
  <c r="D102"/>
  <c r="H94"/>
  <c r="H95"/>
  <c r="H96"/>
  <c r="H97"/>
  <c r="H98"/>
  <c r="H99"/>
  <c r="H100"/>
  <c r="H101"/>
  <c r="H102"/>
  <c r="I102" s="1"/>
  <c r="L94"/>
  <c r="L95"/>
  <c r="L96"/>
  <c r="L97"/>
  <c r="L98"/>
  <c r="L99"/>
  <c r="L100"/>
  <c r="L101"/>
  <c r="L102"/>
  <c r="P71"/>
  <c r="Q71" s="1"/>
  <c r="P73"/>
  <c r="P75"/>
  <c r="Q75" s="1"/>
  <c r="P77"/>
  <c r="R118"/>
  <c r="R130"/>
  <c r="K151"/>
  <c r="E150"/>
  <c r="E148"/>
  <c r="E144"/>
  <c r="O149"/>
  <c r="O147"/>
  <c r="O145"/>
  <c r="E12"/>
  <c r="M16"/>
  <c r="Q142"/>
  <c r="D151"/>
  <c r="O150"/>
  <c r="Q150" s="1"/>
  <c r="O148"/>
  <c r="Q148" s="1"/>
  <c r="O144"/>
  <c r="Q144" s="1"/>
  <c r="R138"/>
  <c r="R132"/>
  <c r="Q130"/>
  <c r="R136"/>
  <c r="Q118"/>
  <c r="R126"/>
  <c r="R122"/>
  <c r="R120"/>
  <c r="O127"/>
  <c r="E127"/>
  <c r="R124"/>
  <c r="R106"/>
  <c r="I95"/>
  <c r="I96"/>
  <c r="I97"/>
  <c r="I98"/>
  <c r="I99"/>
  <c r="I100"/>
  <c r="I101"/>
  <c r="Q106"/>
  <c r="R114"/>
  <c r="R110"/>
  <c r="I79"/>
  <c r="G15" i="11"/>
  <c r="G17" s="1"/>
  <c r="P91" i="12"/>
  <c r="D16" i="11"/>
  <c r="P16" s="1"/>
  <c r="O115" i="12"/>
  <c r="E115"/>
  <c r="E13"/>
  <c r="I10"/>
  <c r="I11"/>
  <c r="I12"/>
  <c r="I14"/>
  <c r="I15"/>
  <c r="I16"/>
  <c r="I17"/>
  <c r="I18"/>
  <c r="M53"/>
  <c r="M54"/>
  <c r="R112"/>
  <c r="R108"/>
  <c r="T104" i="18"/>
  <c r="T83"/>
  <c r="T51"/>
  <c r="T11"/>
  <c r="R143"/>
  <c r="T137"/>
  <c r="T106"/>
  <c r="S143"/>
  <c r="T104" i="17"/>
  <c r="T83"/>
  <c r="T51"/>
  <c r="T11"/>
  <c r="R143"/>
  <c r="S143"/>
  <c r="T137"/>
  <c r="T106"/>
  <c r="T137" i="16"/>
  <c r="T106"/>
  <c r="U81"/>
  <c r="T104"/>
  <c r="T83"/>
  <c r="T51"/>
  <c r="T11"/>
  <c r="S143"/>
  <c r="T104" i="15"/>
  <c r="T83"/>
  <c r="T51"/>
  <c r="T11"/>
  <c r="R143"/>
  <c r="S143"/>
  <c r="T137"/>
  <c r="T106"/>
  <c r="T104" i="14"/>
  <c r="T83"/>
  <c r="T51"/>
  <c r="T11"/>
  <c r="R143"/>
  <c r="S143"/>
  <c r="T137"/>
  <c r="T106"/>
  <c r="S143" i="13"/>
  <c r="U8"/>
  <c r="R143"/>
  <c r="T8"/>
  <c r="T81"/>
  <c r="T51"/>
  <c r="T11"/>
  <c r="T137"/>
  <c r="T106"/>
  <c r="T104"/>
  <c r="T83"/>
  <c r="H143"/>
  <c r="P94" i="12"/>
  <c r="I13"/>
  <c r="E94"/>
  <c r="O94"/>
  <c r="E96"/>
  <c r="E102"/>
  <c r="P59"/>
  <c r="D95"/>
  <c r="P95" s="1"/>
  <c r="P61"/>
  <c r="D97"/>
  <c r="P97" s="1"/>
  <c r="P63"/>
  <c r="D99"/>
  <c r="P99" s="1"/>
  <c r="P65"/>
  <c r="D101"/>
  <c r="P101" s="1"/>
  <c r="G103"/>
  <c r="I94"/>
  <c r="M94"/>
  <c r="M59"/>
  <c r="K95"/>
  <c r="M60"/>
  <c r="K96"/>
  <c r="M96" s="1"/>
  <c r="M61"/>
  <c r="K97"/>
  <c r="M62"/>
  <c r="K98"/>
  <c r="M98" s="1"/>
  <c r="M63"/>
  <c r="K99"/>
  <c r="M64"/>
  <c r="K100"/>
  <c r="M100" s="1"/>
  <c r="M65"/>
  <c r="K101"/>
  <c r="M66"/>
  <c r="K102"/>
  <c r="M102" s="1"/>
  <c r="I67"/>
  <c r="Q85"/>
  <c r="Q87"/>
  <c r="Q89"/>
  <c r="D67"/>
  <c r="E82"/>
  <c r="I91"/>
  <c r="M82"/>
  <c r="Q83"/>
  <c r="E84"/>
  <c r="N29" i="11"/>
  <c r="R83" i="12"/>
  <c r="R85"/>
  <c r="R87"/>
  <c r="R89"/>
  <c r="I82"/>
  <c r="O82"/>
  <c r="E83"/>
  <c r="O84"/>
  <c r="Q84" s="1"/>
  <c r="E85"/>
  <c r="E87"/>
  <c r="O88"/>
  <c r="Q88" s="1"/>
  <c r="E89"/>
  <c r="O90"/>
  <c r="Q90" s="1"/>
  <c r="K91"/>
  <c r="P82"/>
  <c r="Q73"/>
  <c r="Q77"/>
  <c r="R73"/>
  <c r="R77"/>
  <c r="D46"/>
  <c r="D47"/>
  <c r="P47" s="1"/>
  <c r="D48"/>
  <c r="P48" s="1"/>
  <c r="D49"/>
  <c r="P49" s="1"/>
  <c r="D51"/>
  <c r="P51" s="1"/>
  <c r="D52"/>
  <c r="P52" s="1"/>
  <c r="D53"/>
  <c r="P53" s="1"/>
  <c r="D54"/>
  <c r="P54" s="1"/>
  <c r="H46"/>
  <c r="L46"/>
  <c r="I70"/>
  <c r="O70"/>
  <c r="E71"/>
  <c r="O72"/>
  <c r="Q72" s="1"/>
  <c r="E73"/>
  <c r="E75"/>
  <c r="O76"/>
  <c r="Q76" s="1"/>
  <c r="E77"/>
  <c r="O78"/>
  <c r="Q78" s="1"/>
  <c r="K79"/>
  <c r="C46"/>
  <c r="C47"/>
  <c r="C48"/>
  <c r="C49"/>
  <c r="E49" s="1"/>
  <c r="C51"/>
  <c r="C52"/>
  <c r="C53"/>
  <c r="C54"/>
  <c r="G46"/>
  <c r="G47"/>
  <c r="I47" s="1"/>
  <c r="G48"/>
  <c r="I48" s="1"/>
  <c r="G49"/>
  <c r="I49" s="1"/>
  <c r="G51"/>
  <c r="I51" s="1"/>
  <c r="G52"/>
  <c r="I52" s="1"/>
  <c r="G53"/>
  <c r="I53" s="1"/>
  <c r="G54"/>
  <c r="I54" s="1"/>
  <c r="K46"/>
  <c r="K47"/>
  <c r="M47" s="1"/>
  <c r="K48"/>
  <c r="M48" s="1"/>
  <c r="K49"/>
  <c r="M49" s="1"/>
  <c r="K51"/>
  <c r="M51" s="1"/>
  <c r="K52"/>
  <c r="M52" s="1"/>
  <c r="P70"/>
  <c r="Q61"/>
  <c r="Q63"/>
  <c r="Q59"/>
  <c r="Q65"/>
  <c r="R63"/>
  <c r="R65"/>
  <c r="R59"/>
  <c r="R61"/>
  <c r="I58"/>
  <c r="O58"/>
  <c r="E59"/>
  <c r="O60"/>
  <c r="Q60" s="1"/>
  <c r="E61"/>
  <c r="O62"/>
  <c r="Q62" s="1"/>
  <c r="E63"/>
  <c r="O64"/>
  <c r="Q64" s="1"/>
  <c r="E65"/>
  <c r="O66"/>
  <c r="Q66" s="1"/>
  <c r="C67"/>
  <c r="C14" i="11" s="1"/>
  <c r="K67" i="12"/>
  <c r="P58"/>
  <c r="M17"/>
  <c r="E47"/>
  <c r="E51"/>
  <c r="P46"/>
  <c r="Q35"/>
  <c r="Q37"/>
  <c r="Q39"/>
  <c r="Q41"/>
  <c r="R35"/>
  <c r="R37"/>
  <c r="R39"/>
  <c r="R41"/>
  <c r="R16"/>
  <c r="I34"/>
  <c r="O34"/>
  <c r="E35"/>
  <c r="O36"/>
  <c r="Q36" s="1"/>
  <c r="E37"/>
  <c r="E39"/>
  <c r="O40"/>
  <c r="Q40" s="1"/>
  <c r="E41"/>
  <c r="O42"/>
  <c r="Q42" s="1"/>
  <c r="M18"/>
  <c r="P34"/>
  <c r="I31"/>
  <c r="Q23"/>
  <c r="Q25"/>
  <c r="Q27"/>
  <c r="Q29"/>
  <c r="Q18"/>
  <c r="R18"/>
  <c r="R23"/>
  <c r="R25"/>
  <c r="R27"/>
  <c r="R29"/>
  <c r="Q15"/>
  <c r="R15"/>
  <c r="Q16"/>
  <c r="R17"/>
  <c r="O12"/>
  <c r="Q12" s="1"/>
  <c r="P11"/>
  <c r="R11" s="1"/>
  <c r="O10"/>
  <c r="Q10" s="1"/>
  <c r="I22"/>
  <c r="O22"/>
  <c r="E23"/>
  <c r="O24"/>
  <c r="Q24" s="1"/>
  <c r="E25"/>
  <c r="E27"/>
  <c r="O28"/>
  <c r="Q28" s="1"/>
  <c r="E29"/>
  <c r="O30"/>
  <c r="Q30" s="1"/>
  <c r="K31"/>
  <c r="N201"/>
  <c r="P22"/>
  <c r="R22" s="1"/>
  <c r="K19"/>
  <c r="G19"/>
  <c r="C19"/>
  <c r="C9" i="11" s="1"/>
  <c r="I17"/>
  <c r="O19"/>
  <c r="K22"/>
  <c r="M22" s="1"/>
  <c r="M24"/>
  <c r="I14"/>
  <c r="I15" s="1"/>
  <c r="I16" s="1"/>
  <c r="I24"/>
  <c r="O24"/>
  <c r="L29" l="1"/>
  <c r="O175" i="12"/>
  <c r="E175"/>
  <c r="C27" i="11"/>
  <c r="I193" i="12"/>
  <c r="M187"/>
  <c r="R193"/>
  <c r="O187"/>
  <c r="P192"/>
  <c r="R180"/>
  <c r="E187"/>
  <c r="D199"/>
  <c r="E192"/>
  <c r="P194"/>
  <c r="Q194" s="1"/>
  <c r="L199"/>
  <c r="M199" s="1"/>
  <c r="R181"/>
  <c r="Q181"/>
  <c r="R182"/>
  <c r="C199"/>
  <c r="G26" i="11"/>
  <c r="I187" i="12"/>
  <c r="O26" i="11"/>
  <c r="R187" i="22"/>
  <c r="P187" i="12"/>
  <c r="R187" s="1"/>
  <c r="D26" i="11"/>
  <c r="P26" s="1"/>
  <c r="E144" i="22"/>
  <c r="O144"/>
  <c r="Q132"/>
  <c r="R132"/>
  <c r="I146"/>
  <c r="P146"/>
  <c r="D151"/>
  <c r="P151" s="1"/>
  <c r="C146" i="12"/>
  <c r="C139"/>
  <c r="E134"/>
  <c r="E134" i="22"/>
  <c r="O134"/>
  <c r="C146"/>
  <c r="C139"/>
  <c r="E139" s="1"/>
  <c r="Q175"/>
  <c r="O192" i="12"/>
  <c r="R192" s="1"/>
  <c r="Q193"/>
  <c r="Q169"/>
  <c r="R169"/>
  <c r="M25" i="11"/>
  <c r="M26" s="1"/>
  <c r="G25"/>
  <c r="G27" s="1"/>
  <c r="I27" s="1"/>
  <c r="I175" i="12"/>
  <c r="I25" i="11"/>
  <c r="I26" s="1"/>
  <c r="M199" i="22"/>
  <c r="M201" s="1"/>
  <c r="K201"/>
  <c r="H199" i="12"/>
  <c r="I199" s="1"/>
  <c r="I194"/>
  <c r="R175" i="22"/>
  <c r="P175" i="12"/>
  <c r="Q175" s="1"/>
  <c r="D25" i="11"/>
  <c r="P25" s="1"/>
  <c r="I145" i="22"/>
  <c r="O145"/>
  <c r="G151"/>
  <c r="Q133"/>
  <c r="R133"/>
  <c r="I139"/>
  <c r="O139"/>
  <c r="O193"/>
  <c r="Q193" s="1"/>
  <c r="E193"/>
  <c r="R193"/>
  <c r="R157"/>
  <c r="E194"/>
  <c r="I194"/>
  <c r="G199"/>
  <c r="O194"/>
  <c r="Q158"/>
  <c r="R158"/>
  <c r="L55" i="12"/>
  <c r="P192" i="22"/>
  <c r="D199"/>
  <c r="O192"/>
  <c r="Q192" s="1"/>
  <c r="C199"/>
  <c r="E192"/>
  <c r="Q156"/>
  <c r="E163"/>
  <c r="O163"/>
  <c r="Q163" s="1"/>
  <c r="U143" i="16"/>
  <c r="R13" i="12"/>
  <c r="R70"/>
  <c r="R75"/>
  <c r="R71"/>
  <c r="M101"/>
  <c r="M99"/>
  <c r="M97"/>
  <c r="M95"/>
  <c r="Q94"/>
  <c r="R134"/>
  <c r="P24" i="11"/>
  <c r="Q24" s="1"/>
  <c r="E24"/>
  <c r="T143" i="16"/>
  <c r="R34" i="12"/>
  <c r="I109"/>
  <c r="P109"/>
  <c r="H145"/>
  <c r="H115"/>
  <c r="K83" i="6"/>
  <c r="K104"/>
  <c r="Q143" i="12"/>
  <c r="R143"/>
  <c r="O20" i="11"/>
  <c r="M20"/>
  <c r="M21" s="1"/>
  <c r="D22"/>
  <c r="E19"/>
  <c r="E20" s="1"/>
  <c r="M151" i="12"/>
  <c r="K27" i="11"/>
  <c r="M27" s="1"/>
  <c r="O199" i="12"/>
  <c r="Q191"/>
  <c r="R191"/>
  <c r="U143" i="18"/>
  <c r="U143" i="14"/>
  <c r="Q163" i="12"/>
  <c r="R163"/>
  <c r="L103"/>
  <c r="P102"/>
  <c r="H103"/>
  <c r="I103" s="1"/>
  <c r="P100"/>
  <c r="P96"/>
  <c r="Q149"/>
  <c r="R149"/>
  <c r="R144"/>
  <c r="R148"/>
  <c r="Q147"/>
  <c r="R147"/>
  <c r="R150"/>
  <c r="Q127"/>
  <c r="R127"/>
  <c r="O46"/>
  <c r="O53"/>
  <c r="M67"/>
  <c r="K14" i="11"/>
  <c r="M79" i="12"/>
  <c r="K15" i="11"/>
  <c r="M91" i="12"/>
  <c r="K16" i="11"/>
  <c r="P67" i="12"/>
  <c r="D14" i="11"/>
  <c r="I19" i="12"/>
  <c r="G9" i="11"/>
  <c r="M31" i="12"/>
  <c r="K10" i="11"/>
  <c r="M19" i="12"/>
  <c r="K9" i="11"/>
  <c r="T143" i="18"/>
  <c r="T143" i="17"/>
  <c r="U143"/>
  <c r="T143" i="15"/>
  <c r="U143"/>
  <c r="T143" i="14"/>
  <c r="U143" i="13"/>
  <c r="T143"/>
  <c r="E53" i="12"/>
  <c r="I46"/>
  <c r="O101"/>
  <c r="Q101" s="1"/>
  <c r="O99"/>
  <c r="Q99" s="1"/>
  <c r="O97"/>
  <c r="Q97" s="1"/>
  <c r="O95"/>
  <c r="Q95" s="1"/>
  <c r="K103"/>
  <c r="M103" s="1"/>
  <c r="O102"/>
  <c r="O100"/>
  <c r="O96"/>
  <c r="R94"/>
  <c r="E101"/>
  <c r="E99"/>
  <c r="E97"/>
  <c r="E95"/>
  <c r="Q82"/>
  <c r="R90"/>
  <c r="R88"/>
  <c r="R84"/>
  <c r="O54"/>
  <c r="R54" s="1"/>
  <c r="O52"/>
  <c r="O48"/>
  <c r="Q48" s="1"/>
  <c r="M46"/>
  <c r="E54"/>
  <c r="E52"/>
  <c r="E48"/>
  <c r="E46"/>
  <c r="R82"/>
  <c r="R58"/>
  <c r="R78"/>
  <c r="R76"/>
  <c r="R72"/>
  <c r="Q52"/>
  <c r="O51"/>
  <c r="O49"/>
  <c r="O47"/>
  <c r="Q70"/>
  <c r="Q58"/>
  <c r="R66"/>
  <c r="R62"/>
  <c r="R60"/>
  <c r="O67"/>
  <c r="E67"/>
  <c r="R64"/>
  <c r="R46"/>
  <c r="Q46"/>
  <c r="R52"/>
  <c r="R48"/>
  <c r="R42"/>
  <c r="R40"/>
  <c r="R36"/>
  <c r="Q34"/>
  <c r="Q22"/>
  <c r="R12"/>
  <c r="Q11"/>
  <c r="O19"/>
  <c r="R30"/>
  <c r="R28"/>
  <c r="R24"/>
  <c r="R10"/>
  <c r="L201" l="1"/>
  <c r="E199"/>
  <c r="R194"/>
  <c r="Q187"/>
  <c r="R26" i="11"/>
  <c r="Q144" i="22"/>
  <c r="R144"/>
  <c r="Q134"/>
  <c r="R134"/>
  <c r="C151" i="12"/>
  <c r="O146"/>
  <c r="E146"/>
  <c r="O146" i="22"/>
  <c r="C151"/>
  <c r="E151" s="1"/>
  <c r="E146"/>
  <c r="C21" i="11"/>
  <c r="O139" i="12"/>
  <c r="E139"/>
  <c r="Q192"/>
  <c r="R175"/>
  <c r="O25" i="11"/>
  <c r="O27" s="1"/>
  <c r="E25"/>
  <c r="E26" s="1"/>
  <c r="P199" i="12"/>
  <c r="R199" s="1"/>
  <c r="D27" i="11"/>
  <c r="E27" s="1"/>
  <c r="R139" i="22"/>
  <c r="Q139"/>
  <c r="I151"/>
  <c r="O151"/>
  <c r="Q145"/>
  <c r="R145"/>
  <c r="R194"/>
  <c r="Q194"/>
  <c r="G201"/>
  <c r="I199"/>
  <c r="R163"/>
  <c r="R192"/>
  <c r="E199"/>
  <c r="E201" s="1"/>
  <c r="C201"/>
  <c r="O199"/>
  <c r="P199"/>
  <c r="D201"/>
  <c r="P27" i="11"/>
  <c r="Q54" i="12"/>
  <c r="R24" i="11"/>
  <c r="H151" i="12"/>
  <c r="I145"/>
  <c r="P145"/>
  <c r="H19" i="11"/>
  <c r="I115" i="12"/>
  <c r="P115"/>
  <c r="R109"/>
  <c r="Q109"/>
  <c r="R20" i="11"/>
  <c r="E21"/>
  <c r="R97" i="12"/>
  <c r="R101"/>
  <c r="R95"/>
  <c r="R99"/>
  <c r="R53"/>
  <c r="Q53"/>
  <c r="M9" i="11"/>
  <c r="M10" s="1"/>
  <c r="I9"/>
  <c r="O9"/>
  <c r="P14"/>
  <c r="E14"/>
  <c r="K17"/>
  <c r="M14"/>
  <c r="M15" s="1"/>
  <c r="M16" s="1"/>
  <c r="O14"/>
  <c r="Q102" i="12"/>
  <c r="R102"/>
  <c r="Q96"/>
  <c r="R96"/>
  <c r="Q100"/>
  <c r="R100"/>
  <c r="Q47"/>
  <c r="R47"/>
  <c r="Q51"/>
  <c r="R51"/>
  <c r="Q49"/>
  <c r="R49"/>
  <c r="Q67"/>
  <c r="R67"/>
  <c r="I201" i="22" l="1"/>
  <c r="C22" i="11"/>
  <c r="E22" s="1"/>
  <c r="O21"/>
  <c r="O151" i="12"/>
  <c r="E151"/>
  <c r="R139"/>
  <c r="Q139"/>
  <c r="Q146" i="22"/>
  <c r="R146"/>
  <c r="Q146" i="12"/>
  <c r="R146"/>
  <c r="Q27" i="11"/>
  <c r="Q199" i="12"/>
  <c r="R27" i="11"/>
  <c r="Q25"/>
  <c r="Q26" s="1"/>
  <c r="R25"/>
  <c r="R151" i="22"/>
  <c r="Q151"/>
  <c r="Q199"/>
  <c r="O201"/>
  <c r="R199"/>
  <c r="P201"/>
  <c r="R201" s="1"/>
  <c r="R145" i="12"/>
  <c r="Q145"/>
  <c r="I151"/>
  <c r="P151"/>
  <c r="Q115"/>
  <c r="R115"/>
  <c r="H22" i="11"/>
  <c r="I19"/>
  <c r="I20" s="1"/>
  <c r="I21" s="1"/>
  <c r="P19"/>
  <c r="Q14"/>
  <c r="M17"/>
  <c r="R14"/>
  <c r="I10"/>
  <c r="S136" i="10"/>
  <c r="U136" s="1"/>
  <c r="R136"/>
  <c r="T136" s="1"/>
  <c r="P136"/>
  <c r="L136"/>
  <c r="H136"/>
  <c r="S135"/>
  <c r="U135" s="1"/>
  <c r="R135"/>
  <c r="T135" s="1"/>
  <c r="P135"/>
  <c r="L135"/>
  <c r="H135"/>
  <c r="S134"/>
  <c r="U134" s="1"/>
  <c r="R134"/>
  <c r="T134" s="1"/>
  <c r="P134"/>
  <c r="L134"/>
  <c r="H134"/>
  <c r="S131"/>
  <c r="U131" s="1"/>
  <c r="R131"/>
  <c r="T131" s="1"/>
  <c r="P131"/>
  <c r="L131"/>
  <c r="H131"/>
  <c r="S130"/>
  <c r="U130" s="1"/>
  <c r="R130"/>
  <c r="T130" s="1"/>
  <c r="P130"/>
  <c r="L130"/>
  <c r="H130"/>
  <c r="S129"/>
  <c r="U129" s="1"/>
  <c r="R129"/>
  <c r="T129" s="1"/>
  <c r="P129"/>
  <c r="L129"/>
  <c r="H129"/>
  <c r="S126"/>
  <c r="U126" s="1"/>
  <c r="R126"/>
  <c r="T126" s="1"/>
  <c r="P126"/>
  <c r="L126"/>
  <c r="H126"/>
  <c r="S125"/>
  <c r="U125" s="1"/>
  <c r="R125"/>
  <c r="T125" s="1"/>
  <c r="P125"/>
  <c r="L125"/>
  <c r="H125"/>
  <c r="S124"/>
  <c r="U124" s="1"/>
  <c r="R124"/>
  <c r="T124" s="1"/>
  <c r="P124"/>
  <c r="L124"/>
  <c r="H124"/>
  <c r="S121"/>
  <c r="U121" s="1"/>
  <c r="R121"/>
  <c r="T121" s="1"/>
  <c r="P121"/>
  <c r="L121"/>
  <c r="H121"/>
  <c r="S120"/>
  <c r="U120" s="1"/>
  <c r="R120"/>
  <c r="T120" s="1"/>
  <c r="P120"/>
  <c r="L120"/>
  <c r="H120"/>
  <c r="S119"/>
  <c r="R119"/>
  <c r="T119" s="1"/>
  <c r="P119"/>
  <c r="L119"/>
  <c r="H119"/>
  <c r="S118"/>
  <c r="U118" s="1"/>
  <c r="R118"/>
  <c r="T118" s="1"/>
  <c r="P118"/>
  <c r="L118"/>
  <c r="H118"/>
  <c r="S115"/>
  <c r="U115" s="1"/>
  <c r="R115"/>
  <c r="T115" s="1"/>
  <c r="P115"/>
  <c r="L115"/>
  <c r="H115"/>
  <c r="S114"/>
  <c r="U114" s="1"/>
  <c r="R114"/>
  <c r="T114" s="1"/>
  <c r="P114"/>
  <c r="L114"/>
  <c r="H114"/>
  <c r="S113"/>
  <c r="U113" s="1"/>
  <c r="R113"/>
  <c r="T113" s="1"/>
  <c r="P113"/>
  <c r="L113"/>
  <c r="H113"/>
  <c r="S112"/>
  <c r="U112" s="1"/>
  <c r="R112"/>
  <c r="T112" s="1"/>
  <c r="P112"/>
  <c r="L112"/>
  <c r="H112"/>
  <c r="S111"/>
  <c r="U111" s="1"/>
  <c r="R111"/>
  <c r="T111" s="1"/>
  <c r="P111"/>
  <c r="L111"/>
  <c r="H111"/>
  <c r="S110"/>
  <c r="U110" s="1"/>
  <c r="R110"/>
  <c r="T110" s="1"/>
  <c r="P110"/>
  <c r="L110"/>
  <c r="H110"/>
  <c r="S109"/>
  <c r="U109" s="1"/>
  <c r="R109"/>
  <c r="T109" s="1"/>
  <c r="P109"/>
  <c r="L109"/>
  <c r="H109"/>
  <c r="S108"/>
  <c r="U108" s="1"/>
  <c r="R108"/>
  <c r="T108" s="1"/>
  <c r="T106" s="1"/>
  <c r="P108"/>
  <c r="L108"/>
  <c r="H108"/>
  <c r="P107"/>
  <c r="L107"/>
  <c r="H107"/>
  <c r="S106"/>
  <c r="R106"/>
  <c r="Q106"/>
  <c r="P106"/>
  <c r="O106"/>
  <c r="N106"/>
  <c r="M106"/>
  <c r="L106"/>
  <c r="K106"/>
  <c r="J106"/>
  <c r="I106"/>
  <c r="H106"/>
  <c r="G106"/>
  <c r="Q104"/>
  <c r="O104"/>
  <c r="N104"/>
  <c r="M104"/>
  <c r="K104"/>
  <c r="J104"/>
  <c r="I104"/>
  <c r="G104"/>
  <c r="F104"/>
  <c r="S103"/>
  <c r="U103" s="1"/>
  <c r="R103"/>
  <c r="T103" s="1"/>
  <c r="P103"/>
  <c r="L103"/>
  <c r="H103"/>
  <c r="S102"/>
  <c r="U102" s="1"/>
  <c r="R102"/>
  <c r="T102" s="1"/>
  <c r="P102"/>
  <c r="L102"/>
  <c r="H102"/>
  <c r="S101"/>
  <c r="U101" s="1"/>
  <c r="R101"/>
  <c r="T101" s="1"/>
  <c r="P101"/>
  <c r="L101"/>
  <c r="H101"/>
  <c r="S98"/>
  <c r="U98" s="1"/>
  <c r="R98"/>
  <c r="T98" s="1"/>
  <c r="P98"/>
  <c r="L98"/>
  <c r="H98"/>
  <c r="S97"/>
  <c r="U97" s="1"/>
  <c r="R97"/>
  <c r="T97" s="1"/>
  <c r="P97"/>
  <c r="L97"/>
  <c r="H97"/>
  <c r="S96"/>
  <c r="U96" s="1"/>
  <c r="R96"/>
  <c r="T96" s="1"/>
  <c r="P96"/>
  <c r="L96"/>
  <c r="H96"/>
  <c r="S95"/>
  <c r="U95" s="1"/>
  <c r="R95"/>
  <c r="T95" s="1"/>
  <c r="P95"/>
  <c r="L95"/>
  <c r="H95"/>
  <c r="S94"/>
  <c r="U94" s="1"/>
  <c r="R94"/>
  <c r="T94" s="1"/>
  <c r="P94"/>
  <c r="L94"/>
  <c r="H94"/>
  <c r="S93"/>
  <c r="U93" s="1"/>
  <c r="R93"/>
  <c r="T93" s="1"/>
  <c r="P93"/>
  <c r="L93"/>
  <c r="H93"/>
  <c r="S92"/>
  <c r="U92" s="1"/>
  <c r="R92"/>
  <c r="T92" s="1"/>
  <c r="P92"/>
  <c r="L92"/>
  <c r="H92"/>
  <c r="S89"/>
  <c r="U89" s="1"/>
  <c r="R89"/>
  <c r="T89" s="1"/>
  <c r="P89"/>
  <c r="L89"/>
  <c r="H89"/>
  <c r="S88"/>
  <c r="U88" s="1"/>
  <c r="R88"/>
  <c r="T88" s="1"/>
  <c r="P88"/>
  <c r="L88"/>
  <c r="H88"/>
  <c r="S87"/>
  <c r="U87" s="1"/>
  <c r="R87"/>
  <c r="T87" s="1"/>
  <c r="P87"/>
  <c r="L87"/>
  <c r="H87"/>
  <c r="S86"/>
  <c r="U86" s="1"/>
  <c r="R86"/>
  <c r="T86" s="1"/>
  <c r="P86"/>
  <c r="L86"/>
  <c r="H86"/>
  <c r="S85"/>
  <c r="S104" s="1"/>
  <c r="U104" s="1"/>
  <c r="R85"/>
  <c r="R104" s="1"/>
  <c r="P85"/>
  <c r="P104" s="1"/>
  <c r="L85"/>
  <c r="L104" s="1"/>
  <c r="H85"/>
  <c r="H104" s="1"/>
  <c r="P84"/>
  <c r="L84"/>
  <c r="H84"/>
  <c r="S83"/>
  <c r="U83" s="1"/>
  <c r="R83"/>
  <c r="Q83"/>
  <c r="P83"/>
  <c r="O83"/>
  <c r="N83"/>
  <c r="M83"/>
  <c r="L83"/>
  <c r="K83"/>
  <c r="J83"/>
  <c r="I83"/>
  <c r="H83"/>
  <c r="G83"/>
  <c r="F83"/>
  <c r="Q81"/>
  <c r="O81"/>
  <c r="N81"/>
  <c r="M81"/>
  <c r="K81"/>
  <c r="J81"/>
  <c r="I81"/>
  <c r="G81"/>
  <c r="F81"/>
  <c r="S80"/>
  <c r="U80" s="1"/>
  <c r="R80"/>
  <c r="T80" s="1"/>
  <c r="P80"/>
  <c r="L80"/>
  <c r="H80"/>
  <c r="S79"/>
  <c r="U79" s="1"/>
  <c r="R79"/>
  <c r="T79" s="1"/>
  <c r="P79"/>
  <c r="L79"/>
  <c r="H79"/>
  <c r="S78"/>
  <c r="U78" s="1"/>
  <c r="R78"/>
  <c r="T78" s="1"/>
  <c r="P78"/>
  <c r="L78"/>
  <c r="H78"/>
  <c r="S77"/>
  <c r="U77" s="1"/>
  <c r="R77"/>
  <c r="T77" s="1"/>
  <c r="P77"/>
  <c r="L77"/>
  <c r="H77"/>
  <c r="S76"/>
  <c r="U76" s="1"/>
  <c r="R76"/>
  <c r="T76" s="1"/>
  <c r="P76"/>
  <c r="L76"/>
  <c r="H76"/>
  <c r="S75"/>
  <c r="U75" s="1"/>
  <c r="R75"/>
  <c r="T75" s="1"/>
  <c r="P75"/>
  <c r="L75"/>
  <c r="H75"/>
  <c r="S72"/>
  <c r="U72" s="1"/>
  <c r="R72"/>
  <c r="T72" s="1"/>
  <c r="P72"/>
  <c r="L72"/>
  <c r="H72"/>
  <c r="S71"/>
  <c r="U71" s="1"/>
  <c r="R71"/>
  <c r="T71" s="1"/>
  <c r="P71"/>
  <c r="L71"/>
  <c r="H71"/>
  <c r="S70"/>
  <c r="U70" s="1"/>
  <c r="R70"/>
  <c r="T70" s="1"/>
  <c r="P70"/>
  <c r="L70"/>
  <c r="H70"/>
  <c r="S69"/>
  <c r="U69" s="1"/>
  <c r="R69"/>
  <c r="T69" s="1"/>
  <c r="P69"/>
  <c r="L69"/>
  <c r="H69"/>
  <c r="S68"/>
  <c r="U68" s="1"/>
  <c r="R68"/>
  <c r="T68" s="1"/>
  <c r="P68"/>
  <c r="L68"/>
  <c r="H68"/>
  <c r="S65"/>
  <c r="U65" s="1"/>
  <c r="R65"/>
  <c r="T65" s="1"/>
  <c r="P65"/>
  <c r="L65"/>
  <c r="H65"/>
  <c r="S64"/>
  <c r="U64" s="1"/>
  <c r="R64"/>
  <c r="T64" s="1"/>
  <c r="P64"/>
  <c r="L64"/>
  <c r="H64"/>
  <c r="S63"/>
  <c r="U63" s="1"/>
  <c r="R63"/>
  <c r="T63" s="1"/>
  <c r="P63"/>
  <c r="L63"/>
  <c r="H63"/>
  <c r="S62"/>
  <c r="U62" s="1"/>
  <c r="R62"/>
  <c r="T62" s="1"/>
  <c r="P62"/>
  <c r="L62"/>
  <c r="H62"/>
  <c r="S59"/>
  <c r="U59" s="1"/>
  <c r="R59"/>
  <c r="T59" s="1"/>
  <c r="P59"/>
  <c r="L59"/>
  <c r="H59"/>
  <c r="S58"/>
  <c r="U58" s="1"/>
  <c r="R58"/>
  <c r="T58" s="1"/>
  <c r="P58"/>
  <c r="L58"/>
  <c r="H58"/>
  <c r="S57"/>
  <c r="U57" s="1"/>
  <c r="R57"/>
  <c r="T57" s="1"/>
  <c r="P57"/>
  <c r="L57"/>
  <c r="H57"/>
  <c r="S56"/>
  <c r="U56" s="1"/>
  <c r="R56"/>
  <c r="T56" s="1"/>
  <c r="P56"/>
  <c r="L56"/>
  <c r="H56"/>
  <c r="S55"/>
  <c r="U55" s="1"/>
  <c r="R55"/>
  <c r="R81" s="1"/>
  <c r="P55"/>
  <c r="P81" s="1"/>
  <c r="L55"/>
  <c r="L81" s="1"/>
  <c r="H55"/>
  <c r="H81" s="1"/>
  <c r="P54"/>
  <c r="L54"/>
  <c r="H54"/>
  <c r="S53"/>
  <c r="U53" s="1"/>
  <c r="R53"/>
  <c r="Q53"/>
  <c r="P53"/>
  <c r="O53"/>
  <c r="N53"/>
  <c r="M53"/>
  <c r="L53"/>
  <c r="K53"/>
  <c r="J53"/>
  <c r="I53"/>
  <c r="H53"/>
  <c r="G53"/>
  <c r="F53"/>
  <c r="Q51"/>
  <c r="O51"/>
  <c r="N51"/>
  <c r="M51"/>
  <c r="K51"/>
  <c r="J51"/>
  <c r="I51"/>
  <c r="F51"/>
  <c r="S50"/>
  <c r="U50" s="1"/>
  <c r="R50"/>
  <c r="T50" s="1"/>
  <c r="P50"/>
  <c r="L50"/>
  <c r="H50"/>
  <c r="S49"/>
  <c r="U49" s="1"/>
  <c r="R49"/>
  <c r="T49" s="1"/>
  <c r="P49"/>
  <c r="L49"/>
  <c r="H49"/>
  <c r="S46"/>
  <c r="U46" s="1"/>
  <c r="R46"/>
  <c r="T46" s="1"/>
  <c r="P46"/>
  <c r="L46"/>
  <c r="H46"/>
  <c r="S45"/>
  <c r="U45" s="1"/>
  <c r="R45"/>
  <c r="T45" s="1"/>
  <c r="P45"/>
  <c r="L45"/>
  <c r="H45"/>
  <c r="R44"/>
  <c r="P44"/>
  <c r="L44"/>
  <c r="G44"/>
  <c r="G51" s="1"/>
  <c r="G143" s="1"/>
  <c r="S43"/>
  <c r="U43" s="1"/>
  <c r="R43"/>
  <c r="T43" s="1"/>
  <c r="P43"/>
  <c r="L43"/>
  <c r="H43"/>
  <c r="S42"/>
  <c r="U42" s="1"/>
  <c r="R42"/>
  <c r="T42" s="1"/>
  <c r="P42"/>
  <c r="L42"/>
  <c r="H42"/>
  <c r="S41"/>
  <c r="U41" s="1"/>
  <c r="R41"/>
  <c r="T41" s="1"/>
  <c r="P41"/>
  <c r="L41"/>
  <c r="H41"/>
  <c r="S40"/>
  <c r="U40" s="1"/>
  <c r="R40"/>
  <c r="T40" s="1"/>
  <c r="P40"/>
  <c r="L40"/>
  <c r="H40"/>
  <c r="S39"/>
  <c r="U39" s="1"/>
  <c r="R39"/>
  <c r="T39" s="1"/>
  <c r="P39"/>
  <c r="L39"/>
  <c r="H39"/>
  <c r="S38"/>
  <c r="U38" s="1"/>
  <c r="R38"/>
  <c r="T38" s="1"/>
  <c r="P38"/>
  <c r="L38"/>
  <c r="H38"/>
  <c r="S37"/>
  <c r="U37" s="1"/>
  <c r="R37"/>
  <c r="T37" s="1"/>
  <c r="P37"/>
  <c r="L37"/>
  <c r="H37"/>
  <c r="S36"/>
  <c r="U36" s="1"/>
  <c r="R36"/>
  <c r="T36" s="1"/>
  <c r="P36"/>
  <c r="L36"/>
  <c r="H36"/>
  <c r="S35"/>
  <c r="U35" s="1"/>
  <c r="R35"/>
  <c r="T35" s="1"/>
  <c r="P35"/>
  <c r="L35"/>
  <c r="H35"/>
  <c r="S32"/>
  <c r="U32" s="1"/>
  <c r="R32"/>
  <c r="T32" s="1"/>
  <c r="P32"/>
  <c r="L32"/>
  <c r="H32"/>
  <c r="S31"/>
  <c r="U31" s="1"/>
  <c r="R31"/>
  <c r="T31" s="1"/>
  <c r="P31"/>
  <c r="L31"/>
  <c r="H31"/>
  <c r="S30"/>
  <c r="U30" s="1"/>
  <c r="R30"/>
  <c r="T30" s="1"/>
  <c r="P30"/>
  <c r="L30"/>
  <c r="H30"/>
  <c r="S29"/>
  <c r="R29"/>
  <c r="T29" s="1"/>
  <c r="P29"/>
  <c r="L29"/>
  <c r="H29"/>
  <c r="S26"/>
  <c r="U26" s="1"/>
  <c r="R26"/>
  <c r="T26" s="1"/>
  <c r="P26"/>
  <c r="L26"/>
  <c r="H26"/>
  <c r="S25"/>
  <c r="U25" s="1"/>
  <c r="R25"/>
  <c r="T25" s="1"/>
  <c r="P25"/>
  <c r="L25"/>
  <c r="H25"/>
  <c r="S24"/>
  <c r="U24" s="1"/>
  <c r="R24"/>
  <c r="T24" s="1"/>
  <c r="P24"/>
  <c r="L24"/>
  <c r="H24"/>
  <c r="S21"/>
  <c r="U21" s="1"/>
  <c r="R21"/>
  <c r="T21" s="1"/>
  <c r="P21"/>
  <c r="L21"/>
  <c r="H21"/>
  <c r="S20"/>
  <c r="U20" s="1"/>
  <c r="R20"/>
  <c r="T20" s="1"/>
  <c r="P20"/>
  <c r="L20"/>
  <c r="H20"/>
  <c r="S17"/>
  <c r="U17" s="1"/>
  <c r="R17"/>
  <c r="T17" s="1"/>
  <c r="P17"/>
  <c r="L17"/>
  <c r="H17"/>
  <c r="S16"/>
  <c r="U16" s="1"/>
  <c r="R16"/>
  <c r="T16" s="1"/>
  <c r="P16"/>
  <c r="L16"/>
  <c r="H16"/>
  <c r="S15"/>
  <c r="U15" s="1"/>
  <c r="R15"/>
  <c r="T15" s="1"/>
  <c r="P15"/>
  <c r="L15"/>
  <c r="H15"/>
  <c r="S14"/>
  <c r="U14" s="1"/>
  <c r="R14"/>
  <c r="T14" s="1"/>
  <c r="P14"/>
  <c r="L14"/>
  <c r="H14"/>
  <c r="S13"/>
  <c r="R13"/>
  <c r="R51" s="1"/>
  <c r="P13"/>
  <c r="P51" s="1"/>
  <c r="L13"/>
  <c r="L51" s="1"/>
  <c r="H13"/>
  <c r="P12"/>
  <c r="L12"/>
  <c r="H12"/>
  <c r="Q11"/>
  <c r="O11"/>
  <c r="N11"/>
  <c r="M11"/>
  <c r="K11"/>
  <c r="J11"/>
  <c r="I11"/>
  <c r="G11"/>
  <c r="F11"/>
  <c r="P9"/>
  <c r="L9"/>
  <c r="H9"/>
  <c r="N8"/>
  <c r="P8" s="1"/>
  <c r="L8"/>
  <c r="G8"/>
  <c r="S8" s="1"/>
  <c r="U8" s="1"/>
  <c r="F8"/>
  <c r="R8" s="1"/>
  <c r="Q137" i="4"/>
  <c r="O137"/>
  <c r="N137"/>
  <c r="M137"/>
  <c r="K137"/>
  <c r="J137"/>
  <c r="I137"/>
  <c r="G137"/>
  <c r="F137"/>
  <c r="S136"/>
  <c r="U136" s="1"/>
  <c r="R136"/>
  <c r="T136" s="1"/>
  <c r="P136"/>
  <c r="L136"/>
  <c r="H136"/>
  <c r="S135"/>
  <c r="U135" s="1"/>
  <c r="R135"/>
  <c r="T135" s="1"/>
  <c r="P135"/>
  <c r="L135"/>
  <c r="H135"/>
  <c r="S134"/>
  <c r="U134" s="1"/>
  <c r="R134"/>
  <c r="T134" s="1"/>
  <c r="P134"/>
  <c r="L134"/>
  <c r="H134"/>
  <c r="S131"/>
  <c r="U131" s="1"/>
  <c r="R131"/>
  <c r="T131" s="1"/>
  <c r="P131"/>
  <c r="L131"/>
  <c r="H131"/>
  <c r="S130"/>
  <c r="U130" s="1"/>
  <c r="R130"/>
  <c r="T130" s="1"/>
  <c r="P130"/>
  <c r="L130"/>
  <c r="H130"/>
  <c r="S129"/>
  <c r="U129" s="1"/>
  <c r="R129"/>
  <c r="T129" s="1"/>
  <c r="P129"/>
  <c r="L129"/>
  <c r="H129"/>
  <c r="S126"/>
  <c r="U126" s="1"/>
  <c r="R126"/>
  <c r="T126" s="1"/>
  <c r="P126"/>
  <c r="L126"/>
  <c r="H126"/>
  <c r="S125"/>
  <c r="U125" s="1"/>
  <c r="R125"/>
  <c r="T125" s="1"/>
  <c r="P125"/>
  <c r="L125"/>
  <c r="H125"/>
  <c r="S124"/>
  <c r="U124" s="1"/>
  <c r="R124"/>
  <c r="T124" s="1"/>
  <c r="P124"/>
  <c r="L124"/>
  <c r="H124"/>
  <c r="S121"/>
  <c r="U121" s="1"/>
  <c r="R121"/>
  <c r="T121" s="1"/>
  <c r="P121"/>
  <c r="L121"/>
  <c r="H121"/>
  <c r="S120"/>
  <c r="U120" s="1"/>
  <c r="R120"/>
  <c r="T120" s="1"/>
  <c r="P120"/>
  <c r="L120"/>
  <c r="H120"/>
  <c r="S119"/>
  <c r="U119" s="1"/>
  <c r="R119"/>
  <c r="T119" s="1"/>
  <c r="P119"/>
  <c r="L119"/>
  <c r="H119"/>
  <c r="S118"/>
  <c r="U118" s="1"/>
  <c r="R118"/>
  <c r="T118" s="1"/>
  <c r="P118"/>
  <c r="L118"/>
  <c r="H118"/>
  <c r="S115"/>
  <c r="U115" s="1"/>
  <c r="R115"/>
  <c r="T115" s="1"/>
  <c r="P115"/>
  <c r="L115"/>
  <c r="H115"/>
  <c r="S114"/>
  <c r="U114" s="1"/>
  <c r="R114"/>
  <c r="T114" s="1"/>
  <c r="P114"/>
  <c r="L114"/>
  <c r="H114"/>
  <c r="S113"/>
  <c r="U113" s="1"/>
  <c r="R113"/>
  <c r="T113" s="1"/>
  <c r="P113"/>
  <c r="L113"/>
  <c r="H113"/>
  <c r="S112"/>
  <c r="U112" s="1"/>
  <c r="R112"/>
  <c r="T112" s="1"/>
  <c r="P112"/>
  <c r="L112"/>
  <c r="H112"/>
  <c r="S111"/>
  <c r="U111" s="1"/>
  <c r="R111"/>
  <c r="T111" s="1"/>
  <c r="P111"/>
  <c r="L111"/>
  <c r="H111"/>
  <c r="S110"/>
  <c r="U110" s="1"/>
  <c r="R110"/>
  <c r="T110" s="1"/>
  <c r="P110"/>
  <c r="L110"/>
  <c r="H110"/>
  <c r="S109"/>
  <c r="U109" s="1"/>
  <c r="R109"/>
  <c r="T109" s="1"/>
  <c r="P109"/>
  <c r="L109"/>
  <c r="H109"/>
  <c r="S108"/>
  <c r="S137" s="1"/>
  <c r="R108"/>
  <c r="R137" s="1"/>
  <c r="P108"/>
  <c r="P137" s="1"/>
  <c r="L108"/>
  <c r="L137" s="1"/>
  <c r="H108"/>
  <c r="H137" s="1"/>
  <c r="P107"/>
  <c r="L107"/>
  <c r="H107"/>
  <c r="S106"/>
  <c r="U106" s="1"/>
  <c r="R106"/>
  <c r="Q106"/>
  <c r="P106"/>
  <c r="O106"/>
  <c r="N106"/>
  <c r="M106"/>
  <c r="L106"/>
  <c r="K106"/>
  <c r="J106"/>
  <c r="I106"/>
  <c r="H106"/>
  <c r="G106"/>
  <c r="F106"/>
  <c r="Q104"/>
  <c r="O104"/>
  <c r="N104"/>
  <c r="M104"/>
  <c r="K104"/>
  <c r="J104"/>
  <c r="I104"/>
  <c r="F104"/>
  <c r="S103"/>
  <c r="U103" s="1"/>
  <c r="R103"/>
  <c r="T103" s="1"/>
  <c r="P103"/>
  <c r="L103"/>
  <c r="H103"/>
  <c r="S102"/>
  <c r="U102" s="1"/>
  <c r="R102"/>
  <c r="T102" s="1"/>
  <c r="P102"/>
  <c r="L102"/>
  <c r="H102"/>
  <c r="S101"/>
  <c r="U101" s="1"/>
  <c r="R101"/>
  <c r="T101" s="1"/>
  <c r="P101"/>
  <c r="L101"/>
  <c r="H101"/>
  <c r="S98"/>
  <c r="U98" s="1"/>
  <c r="R98"/>
  <c r="T98" s="1"/>
  <c r="P98"/>
  <c r="L98"/>
  <c r="H98"/>
  <c r="S97"/>
  <c r="U97" s="1"/>
  <c r="R97"/>
  <c r="T97" s="1"/>
  <c r="P97"/>
  <c r="L97"/>
  <c r="H97"/>
  <c r="R96"/>
  <c r="P96"/>
  <c r="L96"/>
  <c r="G96"/>
  <c r="S96" s="1"/>
  <c r="S95"/>
  <c r="U95" s="1"/>
  <c r="R95"/>
  <c r="T95" s="1"/>
  <c r="P95"/>
  <c r="L95"/>
  <c r="H95"/>
  <c r="S94"/>
  <c r="U94" s="1"/>
  <c r="R94"/>
  <c r="T94" s="1"/>
  <c r="P94"/>
  <c r="L94"/>
  <c r="H94"/>
  <c r="S93"/>
  <c r="U93" s="1"/>
  <c r="R93"/>
  <c r="T93" s="1"/>
  <c r="P93"/>
  <c r="L93"/>
  <c r="H93"/>
  <c r="S92"/>
  <c r="U92" s="1"/>
  <c r="R92"/>
  <c r="T92" s="1"/>
  <c r="P92"/>
  <c r="L92"/>
  <c r="H92"/>
  <c r="S89"/>
  <c r="U89" s="1"/>
  <c r="R89"/>
  <c r="T89" s="1"/>
  <c r="P89"/>
  <c r="L89"/>
  <c r="H89"/>
  <c r="S88"/>
  <c r="U88" s="1"/>
  <c r="R88"/>
  <c r="T88" s="1"/>
  <c r="P88"/>
  <c r="L88"/>
  <c r="H88"/>
  <c r="S87"/>
  <c r="U87" s="1"/>
  <c r="R87"/>
  <c r="T87" s="1"/>
  <c r="P87"/>
  <c r="L87"/>
  <c r="H87"/>
  <c r="S86"/>
  <c r="U86" s="1"/>
  <c r="R86"/>
  <c r="T86" s="1"/>
  <c r="P86"/>
  <c r="L86"/>
  <c r="H86"/>
  <c r="S85"/>
  <c r="U85" s="1"/>
  <c r="R85"/>
  <c r="R104" s="1"/>
  <c r="P85"/>
  <c r="P104" s="1"/>
  <c r="L85"/>
  <c r="L104" s="1"/>
  <c r="H85"/>
  <c r="P84"/>
  <c r="L84"/>
  <c r="H84"/>
  <c r="R83"/>
  <c r="Q83"/>
  <c r="P83"/>
  <c r="O83"/>
  <c r="N83"/>
  <c r="M83"/>
  <c r="L83"/>
  <c r="K83"/>
  <c r="J83"/>
  <c r="I83"/>
  <c r="G83"/>
  <c r="F83"/>
  <c r="Q81"/>
  <c r="O81"/>
  <c r="N81"/>
  <c r="M81"/>
  <c r="K81"/>
  <c r="J81"/>
  <c r="I81"/>
  <c r="G81"/>
  <c r="F81"/>
  <c r="S80"/>
  <c r="U80" s="1"/>
  <c r="R80"/>
  <c r="T80" s="1"/>
  <c r="P80"/>
  <c r="L80"/>
  <c r="H80"/>
  <c r="S79"/>
  <c r="U79" s="1"/>
  <c r="R79"/>
  <c r="T79" s="1"/>
  <c r="P79"/>
  <c r="L79"/>
  <c r="H79"/>
  <c r="S78"/>
  <c r="U78" s="1"/>
  <c r="R78"/>
  <c r="T78" s="1"/>
  <c r="P78"/>
  <c r="L78"/>
  <c r="H78"/>
  <c r="S77"/>
  <c r="U77" s="1"/>
  <c r="R77"/>
  <c r="T77" s="1"/>
  <c r="P77"/>
  <c r="L77"/>
  <c r="H77"/>
  <c r="S76"/>
  <c r="U76" s="1"/>
  <c r="R76"/>
  <c r="T76" s="1"/>
  <c r="P76"/>
  <c r="L76"/>
  <c r="H76"/>
  <c r="S75"/>
  <c r="U75" s="1"/>
  <c r="R75"/>
  <c r="T75" s="1"/>
  <c r="P75"/>
  <c r="L75"/>
  <c r="H75"/>
  <c r="S72"/>
  <c r="U72" s="1"/>
  <c r="R72"/>
  <c r="T72" s="1"/>
  <c r="P72"/>
  <c r="L72"/>
  <c r="H72"/>
  <c r="S71"/>
  <c r="U71" s="1"/>
  <c r="R71"/>
  <c r="T71" s="1"/>
  <c r="P71"/>
  <c r="L71"/>
  <c r="H71"/>
  <c r="S70"/>
  <c r="U70" s="1"/>
  <c r="R70"/>
  <c r="T70" s="1"/>
  <c r="P70"/>
  <c r="L70"/>
  <c r="H70"/>
  <c r="S69"/>
  <c r="U69" s="1"/>
  <c r="R69"/>
  <c r="T69" s="1"/>
  <c r="P69"/>
  <c r="L69"/>
  <c r="H69"/>
  <c r="S68"/>
  <c r="U68" s="1"/>
  <c r="R68"/>
  <c r="T68" s="1"/>
  <c r="P68"/>
  <c r="L68"/>
  <c r="H68"/>
  <c r="S65"/>
  <c r="U65" s="1"/>
  <c r="R65"/>
  <c r="T65" s="1"/>
  <c r="P65"/>
  <c r="L65"/>
  <c r="H65"/>
  <c r="S64"/>
  <c r="U64" s="1"/>
  <c r="R64"/>
  <c r="T64" s="1"/>
  <c r="P64"/>
  <c r="L64"/>
  <c r="H64"/>
  <c r="S63"/>
  <c r="U63" s="1"/>
  <c r="R63"/>
  <c r="T63" s="1"/>
  <c r="P63"/>
  <c r="L63"/>
  <c r="H63"/>
  <c r="S62"/>
  <c r="U62" s="1"/>
  <c r="R62"/>
  <c r="T62" s="1"/>
  <c r="P62"/>
  <c r="L62"/>
  <c r="H62"/>
  <c r="S59"/>
  <c r="U59" s="1"/>
  <c r="R59"/>
  <c r="T59" s="1"/>
  <c r="P59"/>
  <c r="L59"/>
  <c r="H59"/>
  <c r="S58"/>
  <c r="U58" s="1"/>
  <c r="R58"/>
  <c r="T58" s="1"/>
  <c r="P58"/>
  <c r="L58"/>
  <c r="H58"/>
  <c r="S57"/>
  <c r="U57" s="1"/>
  <c r="R57"/>
  <c r="T57" s="1"/>
  <c r="P57"/>
  <c r="L57"/>
  <c r="H57"/>
  <c r="S56"/>
  <c r="U56" s="1"/>
  <c r="R56"/>
  <c r="T56" s="1"/>
  <c r="P56"/>
  <c r="L56"/>
  <c r="H56"/>
  <c r="S55"/>
  <c r="S81" s="1"/>
  <c r="R55"/>
  <c r="T55" s="1"/>
  <c r="P55"/>
  <c r="P81" s="1"/>
  <c r="L55"/>
  <c r="L81" s="1"/>
  <c r="H55"/>
  <c r="H81" s="1"/>
  <c r="P54"/>
  <c r="L54"/>
  <c r="H54"/>
  <c r="S53"/>
  <c r="U53" s="1"/>
  <c r="R53"/>
  <c r="Q53"/>
  <c r="P53"/>
  <c r="O53"/>
  <c r="N53"/>
  <c r="M53"/>
  <c r="L53"/>
  <c r="K53"/>
  <c r="J53"/>
  <c r="I53"/>
  <c r="H53"/>
  <c r="G53"/>
  <c r="F53"/>
  <c r="Q51"/>
  <c r="N51"/>
  <c r="M51"/>
  <c r="K51"/>
  <c r="J51"/>
  <c r="I51"/>
  <c r="G51"/>
  <c r="F51"/>
  <c r="S50"/>
  <c r="U50" s="1"/>
  <c r="R50"/>
  <c r="T50" s="1"/>
  <c r="P50"/>
  <c r="L50"/>
  <c r="H50"/>
  <c r="S49"/>
  <c r="U49" s="1"/>
  <c r="R49"/>
  <c r="T49" s="1"/>
  <c r="P49"/>
  <c r="L49"/>
  <c r="H49"/>
  <c r="S46"/>
  <c r="U46" s="1"/>
  <c r="R46"/>
  <c r="T46" s="1"/>
  <c r="P46"/>
  <c r="L46"/>
  <c r="H46"/>
  <c r="R45"/>
  <c r="T45" s="1"/>
  <c r="O45"/>
  <c r="S45" s="1"/>
  <c r="L45"/>
  <c r="H45"/>
  <c r="S44"/>
  <c r="U44" s="1"/>
  <c r="R44"/>
  <c r="T44" s="1"/>
  <c r="P44"/>
  <c r="L44"/>
  <c r="H44"/>
  <c r="S43"/>
  <c r="U43" s="1"/>
  <c r="R43"/>
  <c r="T43" s="1"/>
  <c r="P43"/>
  <c r="L43"/>
  <c r="H43"/>
  <c r="S42"/>
  <c r="U42" s="1"/>
  <c r="R42"/>
  <c r="T42" s="1"/>
  <c r="P42"/>
  <c r="L42"/>
  <c r="H42"/>
  <c r="S41"/>
  <c r="U41" s="1"/>
  <c r="R41"/>
  <c r="T41" s="1"/>
  <c r="P41"/>
  <c r="L41"/>
  <c r="H41"/>
  <c r="S40"/>
  <c r="U40" s="1"/>
  <c r="R40"/>
  <c r="T40" s="1"/>
  <c r="P40"/>
  <c r="L40"/>
  <c r="H40"/>
  <c r="S39"/>
  <c r="U39" s="1"/>
  <c r="R39"/>
  <c r="T39" s="1"/>
  <c r="P39"/>
  <c r="L39"/>
  <c r="H39"/>
  <c r="S38"/>
  <c r="U38" s="1"/>
  <c r="R38"/>
  <c r="T38" s="1"/>
  <c r="P38"/>
  <c r="L38"/>
  <c r="H38"/>
  <c r="S37"/>
  <c r="U37" s="1"/>
  <c r="R37"/>
  <c r="T37" s="1"/>
  <c r="P37"/>
  <c r="L37"/>
  <c r="H37"/>
  <c r="S36"/>
  <c r="U36" s="1"/>
  <c r="R36"/>
  <c r="T36" s="1"/>
  <c r="P36"/>
  <c r="L36"/>
  <c r="H36"/>
  <c r="S35"/>
  <c r="U35" s="1"/>
  <c r="R35"/>
  <c r="T35" s="1"/>
  <c r="P35"/>
  <c r="L35"/>
  <c r="H35"/>
  <c r="S32"/>
  <c r="U32" s="1"/>
  <c r="R32"/>
  <c r="T32" s="1"/>
  <c r="P32"/>
  <c r="L32"/>
  <c r="H32"/>
  <c r="S31"/>
  <c r="U31" s="1"/>
  <c r="R31"/>
  <c r="T31" s="1"/>
  <c r="P31"/>
  <c r="L31"/>
  <c r="H31"/>
  <c r="S30"/>
  <c r="U30" s="1"/>
  <c r="R30"/>
  <c r="T30" s="1"/>
  <c r="P30"/>
  <c r="L30"/>
  <c r="H30"/>
  <c r="S29"/>
  <c r="U29" s="1"/>
  <c r="R29"/>
  <c r="T29" s="1"/>
  <c r="P29"/>
  <c r="L29"/>
  <c r="H29"/>
  <c r="S26"/>
  <c r="U26" s="1"/>
  <c r="R26"/>
  <c r="T26" s="1"/>
  <c r="P26"/>
  <c r="L26"/>
  <c r="H26"/>
  <c r="S25"/>
  <c r="U25" s="1"/>
  <c r="R25"/>
  <c r="T25" s="1"/>
  <c r="P25"/>
  <c r="L25"/>
  <c r="H25"/>
  <c r="S24"/>
  <c r="U24" s="1"/>
  <c r="R24"/>
  <c r="T24" s="1"/>
  <c r="P24"/>
  <c r="L24"/>
  <c r="H24"/>
  <c r="S21"/>
  <c r="U21" s="1"/>
  <c r="R21"/>
  <c r="T21" s="1"/>
  <c r="P21"/>
  <c r="L21"/>
  <c r="H21"/>
  <c r="S20"/>
  <c r="U20" s="1"/>
  <c r="R20"/>
  <c r="T20" s="1"/>
  <c r="P20"/>
  <c r="L20"/>
  <c r="H20"/>
  <c r="S17"/>
  <c r="U17" s="1"/>
  <c r="R17"/>
  <c r="T17" s="1"/>
  <c r="P17"/>
  <c r="L17"/>
  <c r="H17"/>
  <c r="S16"/>
  <c r="U16" s="1"/>
  <c r="R16"/>
  <c r="T16" s="1"/>
  <c r="P16"/>
  <c r="L16"/>
  <c r="H16"/>
  <c r="S15"/>
  <c r="U15" s="1"/>
  <c r="R15"/>
  <c r="T15" s="1"/>
  <c r="P15"/>
  <c r="L15"/>
  <c r="H15"/>
  <c r="S14"/>
  <c r="U14" s="1"/>
  <c r="R14"/>
  <c r="T14" s="1"/>
  <c r="P14"/>
  <c r="L14"/>
  <c r="H14"/>
  <c r="S13"/>
  <c r="S51" s="1"/>
  <c r="R13"/>
  <c r="R51" s="1"/>
  <c r="P13"/>
  <c r="L13"/>
  <c r="L51" s="1"/>
  <c r="H13"/>
  <c r="H51" s="1"/>
  <c r="P12"/>
  <c r="L12"/>
  <c r="H12"/>
  <c r="R11"/>
  <c r="Q11"/>
  <c r="O11"/>
  <c r="N11"/>
  <c r="M11"/>
  <c r="L11"/>
  <c r="K11"/>
  <c r="J11"/>
  <c r="I11"/>
  <c r="H11"/>
  <c r="G11"/>
  <c r="F11"/>
  <c r="P9"/>
  <c r="L9"/>
  <c r="H9"/>
  <c r="S8"/>
  <c r="P8"/>
  <c r="N8"/>
  <c r="L8"/>
  <c r="F8"/>
  <c r="R8" s="1"/>
  <c r="T8" s="1"/>
  <c r="Q137" i="10"/>
  <c r="O137"/>
  <c r="N137"/>
  <c r="M137"/>
  <c r="K137"/>
  <c r="J137"/>
  <c r="I137"/>
  <c r="G137"/>
  <c r="S137"/>
  <c r="R137"/>
  <c r="P137"/>
  <c r="L137"/>
  <c r="H137"/>
  <c r="K141" i="7"/>
  <c r="J141"/>
  <c r="G141"/>
  <c r="O141" s="1"/>
  <c r="F141"/>
  <c r="K140"/>
  <c r="L140" s="1"/>
  <c r="J140"/>
  <c r="G140"/>
  <c r="O140" s="1"/>
  <c r="F140"/>
  <c r="L141" i="6"/>
  <c r="L141" i="7"/>
  <c r="S141" i="6"/>
  <c r="R141"/>
  <c r="P141"/>
  <c r="H141"/>
  <c r="R140"/>
  <c r="P140"/>
  <c r="L140"/>
  <c r="H140"/>
  <c r="Q143" i="10"/>
  <c r="O143"/>
  <c r="N143"/>
  <c r="M143"/>
  <c r="K143"/>
  <c r="J143"/>
  <c r="I143"/>
  <c r="Q143" i="8"/>
  <c r="O143"/>
  <c r="M143"/>
  <c r="K143"/>
  <c r="I143"/>
  <c r="Q143" i="4"/>
  <c r="N143"/>
  <c r="M143"/>
  <c r="K143"/>
  <c r="J143"/>
  <c r="I143"/>
  <c r="F143"/>
  <c r="F145" s="1"/>
  <c r="Q143" i="3"/>
  <c r="O143"/>
  <c r="M143"/>
  <c r="I143"/>
  <c r="P143"/>
  <c r="L143"/>
  <c r="Q143" i="2"/>
  <c r="O143"/>
  <c r="N143"/>
  <c r="M143"/>
  <c r="K143"/>
  <c r="J143"/>
  <c r="I143"/>
  <c r="P143"/>
  <c r="L143"/>
  <c r="P143" i="1"/>
  <c r="O143"/>
  <c r="N143"/>
  <c r="L143"/>
  <c r="K143"/>
  <c r="J143"/>
  <c r="F143"/>
  <c r="S141"/>
  <c r="R141"/>
  <c r="S140"/>
  <c r="S143" s="1"/>
  <c r="R140"/>
  <c r="P141"/>
  <c r="P140"/>
  <c r="L141"/>
  <c r="L140"/>
  <c r="H141"/>
  <c r="H140"/>
  <c r="Q137" i="8"/>
  <c r="O137"/>
  <c r="N137"/>
  <c r="M137"/>
  <c r="K137"/>
  <c r="J137"/>
  <c r="I137"/>
  <c r="F137"/>
  <c r="F143" s="1"/>
  <c r="S136"/>
  <c r="U136" s="1"/>
  <c r="R136"/>
  <c r="T136" s="1"/>
  <c r="P136"/>
  <c r="L136"/>
  <c r="H136"/>
  <c r="S135"/>
  <c r="U135" s="1"/>
  <c r="R135"/>
  <c r="T135" s="1"/>
  <c r="P135"/>
  <c r="L135"/>
  <c r="H135"/>
  <c r="S134"/>
  <c r="U134" s="1"/>
  <c r="R134"/>
  <c r="T134" s="1"/>
  <c r="P134"/>
  <c r="L134"/>
  <c r="H134"/>
  <c r="S131"/>
  <c r="U131" s="1"/>
  <c r="R131"/>
  <c r="T131" s="1"/>
  <c r="P131"/>
  <c r="L131"/>
  <c r="H131"/>
  <c r="S130"/>
  <c r="U130" s="1"/>
  <c r="R130"/>
  <c r="T130" s="1"/>
  <c r="P130"/>
  <c r="L130"/>
  <c r="H130"/>
  <c r="S129"/>
  <c r="U129" s="1"/>
  <c r="R129"/>
  <c r="T129" s="1"/>
  <c r="P129"/>
  <c r="L129"/>
  <c r="H129"/>
  <c r="S126"/>
  <c r="U126" s="1"/>
  <c r="R126"/>
  <c r="T126" s="1"/>
  <c r="P126"/>
  <c r="L126"/>
  <c r="H126"/>
  <c r="S125"/>
  <c r="U125" s="1"/>
  <c r="R125"/>
  <c r="T125" s="1"/>
  <c r="P125"/>
  <c r="L125"/>
  <c r="H125"/>
  <c r="S124"/>
  <c r="U124" s="1"/>
  <c r="R124"/>
  <c r="T124" s="1"/>
  <c r="P124"/>
  <c r="L124"/>
  <c r="H124"/>
  <c r="S121"/>
  <c r="U121" s="1"/>
  <c r="R121"/>
  <c r="T121" s="1"/>
  <c r="P121"/>
  <c r="L121"/>
  <c r="H121"/>
  <c r="S120"/>
  <c r="U120" s="1"/>
  <c r="R120"/>
  <c r="T120" s="1"/>
  <c r="P120"/>
  <c r="L120"/>
  <c r="H120"/>
  <c r="S119"/>
  <c r="U119" s="1"/>
  <c r="R119"/>
  <c r="T119" s="1"/>
  <c r="P119"/>
  <c r="L119"/>
  <c r="H119"/>
  <c r="F106" i="10" s="1"/>
  <c r="C86" i="12" s="1"/>
  <c r="S118" i="8"/>
  <c r="U118" s="1"/>
  <c r="R118"/>
  <c r="T118" s="1"/>
  <c r="P118"/>
  <c r="L118"/>
  <c r="H118"/>
  <c r="S115"/>
  <c r="U115" s="1"/>
  <c r="R115"/>
  <c r="T115" s="1"/>
  <c r="P115"/>
  <c r="L115"/>
  <c r="H115"/>
  <c r="S114"/>
  <c r="U114" s="1"/>
  <c r="R114"/>
  <c r="T114" s="1"/>
  <c r="P114"/>
  <c r="L114"/>
  <c r="H114"/>
  <c r="S113"/>
  <c r="U113" s="1"/>
  <c r="R113"/>
  <c r="T113" s="1"/>
  <c r="P113"/>
  <c r="L113"/>
  <c r="H113"/>
  <c r="S112"/>
  <c r="U112" s="1"/>
  <c r="R112"/>
  <c r="T112" s="1"/>
  <c r="P112"/>
  <c r="L112"/>
  <c r="H112"/>
  <c r="S111"/>
  <c r="U111" s="1"/>
  <c r="R111"/>
  <c r="T111" s="1"/>
  <c r="P111"/>
  <c r="L111"/>
  <c r="H111"/>
  <c r="S110"/>
  <c r="U110" s="1"/>
  <c r="R110"/>
  <c r="T110" s="1"/>
  <c r="P110"/>
  <c r="L110"/>
  <c r="H110"/>
  <c r="S109"/>
  <c r="U109" s="1"/>
  <c r="R109"/>
  <c r="T109" s="1"/>
  <c r="P109"/>
  <c r="L109"/>
  <c r="H109"/>
  <c r="S108"/>
  <c r="S137" s="1"/>
  <c r="R108"/>
  <c r="R137" s="1"/>
  <c r="P108"/>
  <c r="P137" s="1"/>
  <c r="L108"/>
  <c r="L137" s="1"/>
  <c r="H108"/>
  <c r="P107"/>
  <c r="L107"/>
  <c r="H107"/>
  <c r="S106"/>
  <c r="R106"/>
  <c r="Q106"/>
  <c r="P106"/>
  <c r="O106"/>
  <c r="N106"/>
  <c r="M106"/>
  <c r="L106"/>
  <c r="K106"/>
  <c r="J106"/>
  <c r="I106"/>
  <c r="H106"/>
  <c r="F106"/>
  <c r="C74" i="12" s="1"/>
  <c r="Q104" i="8"/>
  <c r="O104"/>
  <c r="N104"/>
  <c r="M104"/>
  <c r="K104"/>
  <c r="J104"/>
  <c r="I104"/>
  <c r="G104"/>
  <c r="F104"/>
  <c r="S103"/>
  <c r="U103" s="1"/>
  <c r="R103"/>
  <c r="T103" s="1"/>
  <c r="P103"/>
  <c r="L103"/>
  <c r="H103"/>
  <c r="S102"/>
  <c r="U102" s="1"/>
  <c r="R102"/>
  <c r="T102" s="1"/>
  <c r="P102"/>
  <c r="L102"/>
  <c r="H102"/>
  <c r="S101"/>
  <c r="U101" s="1"/>
  <c r="R101"/>
  <c r="T101" s="1"/>
  <c r="P101"/>
  <c r="L101"/>
  <c r="H101"/>
  <c r="S98"/>
  <c r="U98" s="1"/>
  <c r="R98"/>
  <c r="T98" s="1"/>
  <c r="P98"/>
  <c r="L98"/>
  <c r="H98"/>
  <c r="S97"/>
  <c r="U97" s="1"/>
  <c r="R97"/>
  <c r="T97" s="1"/>
  <c r="P97"/>
  <c r="L97"/>
  <c r="H97"/>
  <c r="S96"/>
  <c r="U96" s="1"/>
  <c r="R96"/>
  <c r="T96" s="1"/>
  <c r="P96"/>
  <c r="L96"/>
  <c r="H96"/>
  <c r="S95"/>
  <c r="U95" s="1"/>
  <c r="R95"/>
  <c r="T95" s="1"/>
  <c r="P95"/>
  <c r="L95"/>
  <c r="H95"/>
  <c r="S94"/>
  <c r="U94" s="1"/>
  <c r="R94"/>
  <c r="T94" s="1"/>
  <c r="P94"/>
  <c r="L94"/>
  <c r="H94"/>
  <c r="S93"/>
  <c r="U93" s="1"/>
  <c r="R93"/>
  <c r="T93" s="1"/>
  <c r="P93"/>
  <c r="L93"/>
  <c r="H93"/>
  <c r="S92"/>
  <c r="U92" s="1"/>
  <c r="R92"/>
  <c r="T92" s="1"/>
  <c r="P92"/>
  <c r="L92"/>
  <c r="H92"/>
  <c r="S89"/>
  <c r="U89" s="1"/>
  <c r="R89"/>
  <c r="T89" s="1"/>
  <c r="P89"/>
  <c r="L89"/>
  <c r="H89"/>
  <c r="S88"/>
  <c r="U88" s="1"/>
  <c r="R88"/>
  <c r="T88" s="1"/>
  <c r="P88"/>
  <c r="L88"/>
  <c r="H88"/>
  <c r="S87"/>
  <c r="U87" s="1"/>
  <c r="R87"/>
  <c r="T87" s="1"/>
  <c r="P87"/>
  <c r="L87"/>
  <c r="H87"/>
  <c r="S86"/>
  <c r="U86" s="1"/>
  <c r="R86"/>
  <c r="T86" s="1"/>
  <c r="P86"/>
  <c r="L86"/>
  <c r="H86"/>
  <c r="S85"/>
  <c r="S104" s="1"/>
  <c r="U104" s="1"/>
  <c r="R85"/>
  <c r="R104" s="1"/>
  <c r="P85"/>
  <c r="P104" s="1"/>
  <c r="L85"/>
  <c r="L104" s="1"/>
  <c r="H85"/>
  <c r="H104" s="1"/>
  <c r="P84"/>
  <c r="L84"/>
  <c r="H84"/>
  <c r="S83"/>
  <c r="U83" s="1"/>
  <c r="R83"/>
  <c r="Q83"/>
  <c r="P83"/>
  <c r="O83"/>
  <c r="N83"/>
  <c r="M83"/>
  <c r="L83"/>
  <c r="K83"/>
  <c r="J83"/>
  <c r="I83"/>
  <c r="H83"/>
  <c r="G83"/>
  <c r="F83"/>
  <c r="Q81"/>
  <c r="O81"/>
  <c r="N81"/>
  <c r="M81"/>
  <c r="K81"/>
  <c r="J81"/>
  <c r="J143" s="1"/>
  <c r="I81"/>
  <c r="G81"/>
  <c r="F81"/>
  <c r="S80"/>
  <c r="U80" s="1"/>
  <c r="R80"/>
  <c r="T80" s="1"/>
  <c r="P80"/>
  <c r="L80"/>
  <c r="H80"/>
  <c r="S79"/>
  <c r="U79" s="1"/>
  <c r="R79"/>
  <c r="T79" s="1"/>
  <c r="P79"/>
  <c r="L79"/>
  <c r="H79"/>
  <c r="S78"/>
  <c r="U78" s="1"/>
  <c r="R78"/>
  <c r="T78" s="1"/>
  <c r="P78"/>
  <c r="L78"/>
  <c r="H78"/>
  <c r="S77"/>
  <c r="U77" s="1"/>
  <c r="R77"/>
  <c r="T77" s="1"/>
  <c r="P77"/>
  <c r="L77"/>
  <c r="H77"/>
  <c r="S76"/>
  <c r="U76" s="1"/>
  <c r="R76"/>
  <c r="T76" s="1"/>
  <c r="P76"/>
  <c r="L76"/>
  <c r="H76"/>
  <c r="S75"/>
  <c r="U75" s="1"/>
  <c r="R75"/>
  <c r="T75" s="1"/>
  <c r="P75"/>
  <c r="L75"/>
  <c r="H75"/>
  <c r="S72"/>
  <c r="U72" s="1"/>
  <c r="R72"/>
  <c r="T72" s="1"/>
  <c r="P72"/>
  <c r="L72"/>
  <c r="H72"/>
  <c r="S71"/>
  <c r="U71" s="1"/>
  <c r="R71"/>
  <c r="T71" s="1"/>
  <c r="P71"/>
  <c r="L71"/>
  <c r="H71"/>
  <c r="S70"/>
  <c r="U70" s="1"/>
  <c r="R70"/>
  <c r="T70" s="1"/>
  <c r="P70"/>
  <c r="L70"/>
  <c r="H70"/>
  <c r="S69"/>
  <c r="U69" s="1"/>
  <c r="R69"/>
  <c r="T69" s="1"/>
  <c r="P69"/>
  <c r="L69"/>
  <c r="H69"/>
  <c r="S68"/>
  <c r="U68" s="1"/>
  <c r="R68"/>
  <c r="T68" s="1"/>
  <c r="P68"/>
  <c r="L68"/>
  <c r="H68"/>
  <c r="S65"/>
  <c r="U65" s="1"/>
  <c r="R65"/>
  <c r="T65" s="1"/>
  <c r="P65"/>
  <c r="L65"/>
  <c r="H65"/>
  <c r="S64"/>
  <c r="U64" s="1"/>
  <c r="R64"/>
  <c r="T64" s="1"/>
  <c r="P64"/>
  <c r="L64"/>
  <c r="H64"/>
  <c r="S63"/>
  <c r="R63"/>
  <c r="T63" s="1"/>
  <c r="P63"/>
  <c r="L63"/>
  <c r="H63"/>
  <c r="S62"/>
  <c r="U62" s="1"/>
  <c r="R62"/>
  <c r="T62" s="1"/>
  <c r="P62"/>
  <c r="L62"/>
  <c r="H62"/>
  <c r="S59"/>
  <c r="U59" s="1"/>
  <c r="R59"/>
  <c r="T59" s="1"/>
  <c r="P59"/>
  <c r="L59"/>
  <c r="H59"/>
  <c r="S58"/>
  <c r="U58" s="1"/>
  <c r="R58"/>
  <c r="T58" s="1"/>
  <c r="P58"/>
  <c r="L58"/>
  <c r="H58"/>
  <c r="S57"/>
  <c r="U57" s="1"/>
  <c r="R57"/>
  <c r="T57" s="1"/>
  <c r="P57"/>
  <c r="L57"/>
  <c r="H57"/>
  <c r="S56"/>
  <c r="U56" s="1"/>
  <c r="R56"/>
  <c r="T56" s="1"/>
  <c r="P56"/>
  <c r="L56"/>
  <c r="H56"/>
  <c r="S55"/>
  <c r="S81" s="1"/>
  <c r="R55"/>
  <c r="T55" s="1"/>
  <c r="P55"/>
  <c r="P81" s="1"/>
  <c r="L55"/>
  <c r="L81" s="1"/>
  <c r="H55"/>
  <c r="H81" s="1"/>
  <c r="P54"/>
  <c r="L54"/>
  <c r="H54"/>
  <c r="S53"/>
  <c r="R53"/>
  <c r="Q53"/>
  <c r="P53"/>
  <c r="O53"/>
  <c r="N53"/>
  <c r="M53"/>
  <c r="L53"/>
  <c r="K53"/>
  <c r="J53"/>
  <c r="I53"/>
  <c r="H53"/>
  <c r="G53"/>
  <c r="F53"/>
  <c r="Q51"/>
  <c r="O51"/>
  <c r="N51"/>
  <c r="M51"/>
  <c r="K51"/>
  <c r="J51"/>
  <c r="I51"/>
  <c r="F51"/>
  <c r="S50"/>
  <c r="U50" s="1"/>
  <c r="R50"/>
  <c r="T50" s="1"/>
  <c r="P50"/>
  <c r="L50"/>
  <c r="H50"/>
  <c r="S49"/>
  <c r="U49" s="1"/>
  <c r="R49"/>
  <c r="T49" s="1"/>
  <c r="P49"/>
  <c r="L49"/>
  <c r="H49"/>
  <c r="S46"/>
  <c r="U46" s="1"/>
  <c r="R46"/>
  <c r="T46" s="1"/>
  <c r="P46"/>
  <c r="L46"/>
  <c r="H46"/>
  <c r="S45"/>
  <c r="U45" s="1"/>
  <c r="R45"/>
  <c r="T45" s="1"/>
  <c r="P45"/>
  <c r="L45"/>
  <c r="H45"/>
  <c r="R44"/>
  <c r="P44"/>
  <c r="L44"/>
  <c r="G44"/>
  <c r="G51" s="1"/>
  <c r="S43"/>
  <c r="U43" s="1"/>
  <c r="R43"/>
  <c r="T43" s="1"/>
  <c r="P43"/>
  <c r="L43"/>
  <c r="H43"/>
  <c r="S42"/>
  <c r="U42" s="1"/>
  <c r="R42"/>
  <c r="T42" s="1"/>
  <c r="P42"/>
  <c r="L42"/>
  <c r="H42"/>
  <c r="S41"/>
  <c r="U41" s="1"/>
  <c r="R41"/>
  <c r="T41" s="1"/>
  <c r="P41"/>
  <c r="L41"/>
  <c r="H41"/>
  <c r="S40"/>
  <c r="U40" s="1"/>
  <c r="R40"/>
  <c r="T40" s="1"/>
  <c r="P40"/>
  <c r="L40"/>
  <c r="H40"/>
  <c r="S39"/>
  <c r="U39" s="1"/>
  <c r="R39"/>
  <c r="T39" s="1"/>
  <c r="P39"/>
  <c r="L39"/>
  <c r="H39"/>
  <c r="S38"/>
  <c r="U38" s="1"/>
  <c r="R38"/>
  <c r="T38" s="1"/>
  <c r="P38"/>
  <c r="L38"/>
  <c r="H38"/>
  <c r="S37"/>
  <c r="U37" s="1"/>
  <c r="R37"/>
  <c r="T37" s="1"/>
  <c r="P37"/>
  <c r="L37"/>
  <c r="H37"/>
  <c r="S36"/>
  <c r="U36" s="1"/>
  <c r="R36"/>
  <c r="T36" s="1"/>
  <c r="P36"/>
  <c r="L36"/>
  <c r="H36"/>
  <c r="S35"/>
  <c r="U35" s="1"/>
  <c r="R35"/>
  <c r="T35" s="1"/>
  <c r="P35"/>
  <c r="L35"/>
  <c r="H35"/>
  <c r="S32"/>
  <c r="U32" s="1"/>
  <c r="R32"/>
  <c r="T32" s="1"/>
  <c r="P32"/>
  <c r="L32"/>
  <c r="H32"/>
  <c r="S31"/>
  <c r="U31" s="1"/>
  <c r="R31"/>
  <c r="T31" s="1"/>
  <c r="P31"/>
  <c r="L31"/>
  <c r="H31"/>
  <c r="S30"/>
  <c r="U30" s="1"/>
  <c r="R30"/>
  <c r="T30" s="1"/>
  <c r="P30"/>
  <c r="L30"/>
  <c r="H30"/>
  <c r="S29"/>
  <c r="U29" s="1"/>
  <c r="R29"/>
  <c r="T29" s="1"/>
  <c r="P29"/>
  <c r="L29"/>
  <c r="H29"/>
  <c r="S26"/>
  <c r="U26" s="1"/>
  <c r="R26"/>
  <c r="T26" s="1"/>
  <c r="P26"/>
  <c r="L26"/>
  <c r="H26"/>
  <c r="S25"/>
  <c r="U25" s="1"/>
  <c r="R25"/>
  <c r="T25" s="1"/>
  <c r="P25"/>
  <c r="L25"/>
  <c r="H25"/>
  <c r="S24"/>
  <c r="U24" s="1"/>
  <c r="R24"/>
  <c r="T24" s="1"/>
  <c r="P24"/>
  <c r="L24"/>
  <c r="H24"/>
  <c r="S21"/>
  <c r="U21" s="1"/>
  <c r="R21"/>
  <c r="T21" s="1"/>
  <c r="P21"/>
  <c r="L21"/>
  <c r="H21"/>
  <c r="S20"/>
  <c r="U20" s="1"/>
  <c r="R20"/>
  <c r="T20" s="1"/>
  <c r="P20"/>
  <c r="L20"/>
  <c r="H20"/>
  <c r="S17"/>
  <c r="U17" s="1"/>
  <c r="R17"/>
  <c r="T17" s="1"/>
  <c r="P17"/>
  <c r="L17"/>
  <c r="H17"/>
  <c r="S16"/>
  <c r="U16" s="1"/>
  <c r="R16"/>
  <c r="T16" s="1"/>
  <c r="P16"/>
  <c r="L16"/>
  <c r="H16"/>
  <c r="S15"/>
  <c r="U15" s="1"/>
  <c r="R15"/>
  <c r="T15" s="1"/>
  <c r="P15"/>
  <c r="L15"/>
  <c r="H15"/>
  <c r="S14"/>
  <c r="U14" s="1"/>
  <c r="R14"/>
  <c r="T14" s="1"/>
  <c r="P14"/>
  <c r="L14"/>
  <c r="H14"/>
  <c r="S13"/>
  <c r="R13"/>
  <c r="R51" s="1"/>
  <c r="P13"/>
  <c r="P51" s="1"/>
  <c r="L13"/>
  <c r="L51" s="1"/>
  <c r="H13"/>
  <c r="P12"/>
  <c r="L12"/>
  <c r="H12"/>
  <c r="R11"/>
  <c r="Q11"/>
  <c r="P11"/>
  <c r="O11"/>
  <c r="N11"/>
  <c r="M11"/>
  <c r="L11"/>
  <c r="K11"/>
  <c r="J11"/>
  <c r="I11"/>
  <c r="G11"/>
  <c r="F11"/>
  <c r="P9"/>
  <c r="L9"/>
  <c r="H9"/>
  <c r="P8"/>
  <c r="L8"/>
  <c r="G8"/>
  <c r="F8"/>
  <c r="H8" s="1"/>
  <c r="R21" i="11" l="1"/>
  <c r="O22"/>
  <c r="Q201" i="22"/>
  <c r="U119" i="10"/>
  <c r="U106"/>
  <c r="G106" i="8"/>
  <c r="D74" i="12" s="1"/>
  <c r="H137" i="8"/>
  <c r="H143" s="1"/>
  <c r="F137" i="10"/>
  <c r="F143" s="1"/>
  <c r="F145" s="1"/>
  <c r="U106" i="8"/>
  <c r="G137"/>
  <c r="G143" s="1"/>
  <c r="G145" s="1"/>
  <c r="E86" i="12"/>
  <c r="C91"/>
  <c r="O86"/>
  <c r="P74"/>
  <c r="D98"/>
  <c r="D79"/>
  <c r="O74"/>
  <c r="C98"/>
  <c r="E74"/>
  <c r="C79"/>
  <c r="R19" i="11"/>
  <c r="Q19"/>
  <c r="Q20" s="1"/>
  <c r="Q21" s="1"/>
  <c r="P22"/>
  <c r="I22"/>
  <c r="Q151" i="12"/>
  <c r="R151"/>
  <c r="T141" i="1"/>
  <c r="U141"/>
  <c r="N143" i="8"/>
  <c r="U29" i="10"/>
  <c r="L11"/>
  <c r="H141" i="7"/>
  <c r="N141"/>
  <c r="Q141" s="1"/>
  <c r="H143" i="1"/>
  <c r="H140" i="7"/>
  <c r="T140" i="1"/>
  <c r="T143" s="1"/>
  <c r="G145" i="10"/>
  <c r="N140" i="7"/>
  <c r="S51" i="10"/>
  <c r="U51" s="1"/>
  <c r="T8"/>
  <c r="P11"/>
  <c r="R11"/>
  <c r="T13"/>
  <c r="T55"/>
  <c r="S81"/>
  <c r="U81" s="1"/>
  <c r="U85"/>
  <c r="H8"/>
  <c r="U13"/>
  <c r="H44"/>
  <c r="H51" s="1"/>
  <c r="S44"/>
  <c r="T85"/>
  <c r="U45" i="4"/>
  <c r="S11"/>
  <c r="U11" s="1"/>
  <c r="U51"/>
  <c r="T96"/>
  <c r="T53"/>
  <c r="T81"/>
  <c r="U96"/>
  <c r="S83"/>
  <c r="U83" s="1"/>
  <c r="U8"/>
  <c r="U137"/>
  <c r="H8"/>
  <c r="U13"/>
  <c r="O51"/>
  <c r="O143" s="1"/>
  <c r="U55"/>
  <c r="R81"/>
  <c r="U81" s="1"/>
  <c r="T85"/>
  <c r="G104"/>
  <c r="G143" s="1"/>
  <c r="G145" s="1"/>
  <c r="H145" s="1"/>
  <c r="S104"/>
  <c r="U104" s="1"/>
  <c r="U108"/>
  <c r="L143"/>
  <c r="R143"/>
  <c r="T13"/>
  <c r="P45"/>
  <c r="P11" s="1"/>
  <c r="H96"/>
  <c r="H83" s="1"/>
  <c r="T108"/>
  <c r="P143" i="8"/>
  <c r="U53"/>
  <c r="U63"/>
  <c r="L143"/>
  <c r="F145"/>
  <c r="U137" i="10"/>
  <c r="L143"/>
  <c r="R143"/>
  <c r="P143"/>
  <c r="H145"/>
  <c r="S140" i="6"/>
  <c r="U140" s="1"/>
  <c r="T141"/>
  <c r="U141"/>
  <c r="P141" i="7"/>
  <c r="S143" i="8"/>
  <c r="S143" i="4"/>
  <c r="S143" i="3"/>
  <c r="S143" i="2"/>
  <c r="U140" i="1"/>
  <c r="R143"/>
  <c r="T53" i="8"/>
  <c r="T81"/>
  <c r="S51"/>
  <c r="U51" s="1"/>
  <c r="U137"/>
  <c r="R8"/>
  <c r="U13"/>
  <c r="H44"/>
  <c r="H11" s="1"/>
  <c r="S44"/>
  <c r="U55"/>
  <c r="R81"/>
  <c r="R143" s="1"/>
  <c r="T85"/>
  <c r="T108"/>
  <c r="S8"/>
  <c r="T13"/>
  <c r="U85"/>
  <c r="U108"/>
  <c r="K136" i="7"/>
  <c r="J136"/>
  <c r="G136"/>
  <c r="F136"/>
  <c r="K135"/>
  <c r="J135"/>
  <c r="G135"/>
  <c r="F135"/>
  <c r="K134"/>
  <c r="J134"/>
  <c r="G134"/>
  <c r="F134"/>
  <c r="K133"/>
  <c r="J133"/>
  <c r="G133"/>
  <c r="F133"/>
  <c r="K132"/>
  <c r="J132"/>
  <c r="G132"/>
  <c r="F132"/>
  <c r="K131"/>
  <c r="J131"/>
  <c r="G131"/>
  <c r="F131"/>
  <c r="K130"/>
  <c r="J130"/>
  <c r="G130"/>
  <c r="F130"/>
  <c r="K129"/>
  <c r="J129"/>
  <c r="G129"/>
  <c r="F129"/>
  <c r="K128"/>
  <c r="J128"/>
  <c r="G128"/>
  <c r="F128"/>
  <c r="K127"/>
  <c r="J127"/>
  <c r="G127"/>
  <c r="F127"/>
  <c r="K126"/>
  <c r="J126"/>
  <c r="G126"/>
  <c r="F126"/>
  <c r="K125"/>
  <c r="J125"/>
  <c r="G125"/>
  <c r="F125"/>
  <c r="K124"/>
  <c r="J124"/>
  <c r="G124"/>
  <c r="F124"/>
  <c r="K123"/>
  <c r="J123"/>
  <c r="G123"/>
  <c r="F123"/>
  <c r="K122"/>
  <c r="J122"/>
  <c r="G122"/>
  <c r="F122"/>
  <c r="K121"/>
  <c r="J121"/>
  <c r="G121"/>
  <c r="F121"/>
  <c r="K120"/>
  <c r="J120"/>
  <c r="G120"/>
  <c r="F120"/>
  <c r="K119"/>
  <c r="J119"/>
  <c r="G119"/>
  <c r="F119"/>
  <c r="K118"/>
  <c r="J118"/>
  <c r="G118"/>
  <c r="F118"/>
  <c r="K117"/>
  <c r="J117"/>
  <c r="K116"/>
  <c r="J116"/>
  <c r="G116"/>
  <c r="F116"/>
  <c r="K115"/>
  <c r="J115"/>
  <c r="G115"/>
  <c r="F115"/>
  <c r="K114"/>
  <c r="J114"/>
  <c r="G114"/>
  <c r="F114"/>
  <c r="K113"/>
  <c r="J113"/>
  <c r="G113"/>
  <c r="F113"/>
  <c r="K112"/>
  <c r="J112"/>
  <c r="G112"/>
  <c r="F112"/>
  <c r="K111"/>
  <c r="J111"/>
  <c r="G111"/>
  <c r="F111"/>
  <c r="K110"/>
  <c r="J110"/>
  <c r="G110"/>
  <c r="F110"/>
  <c r="K109"/>
  <c r="J109"/>
  <c r="G109"/>
  <c r="F109"/>
  <c r="K108"/>
  <c r="K106" s="1"/>
  <c r="J108"/>
  <c r="J106" s="1"/>
  <c r="G108"/>
  <c r="F108"/>
  <c r="H107"/>
  <c r="I106"/>
  <c r="K105"/>
  <c r="J105"/>
  <c r="G105"/>
  <c r="F105"/>
  <c r="I104"/>
  <c r="K103"/>
  <c r="J103"/>
  <c r="G103"/>
  <c r="F103"/>
  <c r="K102"/>
  <c r="J102"/>
  <c r="G102"/>
  <c r="F102"/>
  <c r="K101"/>
  <c r="J101"/>
  <c r="G101"/>
  <c r="F101"/>
  <c r="K100"/>
  <c r="J100"/>
  <c r="G100"/>
  <c r="F100"/>
  <c r="K99"/>
  <c r="J99"/>
  <c r="G99"/>
  <c r="F99"/>
  <c r="K98"/>
  <c r="J98"/>
  <c r="G98"/>
  <c r="F98"/>
  <c r="K97"/>
  <c r="J97"/>
  <c r="G97"/>
  <c r="F97"/>
  <c r="K96"/>
  <c r="J96"/>
  <c r="G96"/>
  <c r="F96"/>
  <c r="K95"/>
  <c r="J95"/>
  <c r="G95"/>
  <c r="F95"/>
  <c r="K94"/>
  <c r="J94"/>
  <c r="G94"/>
  <c r="F94"/>
  <c r="K93"/>
  <c r="J93"/>
  <c r="G93"/>
  <c r="F93"/>
  <c r="K92"/>
  <c r="J92"/>
  <c r="G92"/>
  <c r="F92"/>
  <c r="K91"/>
  <c r="J91"/>
  <c r="G91"/>
  <c r="F91"/>
  <c r="K90"/>
  <c r="J90"/>
  <c r="G90"/>
  <c r="F90"/>
  <c r="K89"/>
  <c r="J89"/>
  <c r="G89"/>
  <c r="F89"/>
  <c r="K88"/>
  <c r="J88"/>
  <c r="G88"/>
  <c r="F88"/>
  <c r="K87"/>
  <c r="J87"/>
  <c r="G87"/>
  <c r="F87"/>
  <c r="K86"/>
  <c r="J86"/>
  <c r="G86"/>
  <c r="F86"/>
  <c r="K85"/>
  <c r="J85"/>
  <c r="J104" s="1"/>
  <c r="G85"/>
  <c r="G104" s="1"/>
  <c r="F85"/>
  <c r="F104" s="1"/>
  <c r="H84"/>
  <c r="J83"/>
  <c r="I83"/>
  <c r="F83"/>
  <c r="K82"/>
  <c r="J82"/>
  <c r="G82"/>
  <c r="F82"/>
  <c r="I81"/>
  <c r="K80"/>
  <c r="J80"/>
  <c r="G80"/>
  <c r="F80"/>
  <c r="K79"/>
  <c r="J79"/>
  <c r="G79"/>
  <c r="F79"/>
  <c r="K78"/>
  <c r="J78"/>
  <c r="G78"/>
  <c r="F78"/>
  <c r="K77"/>
  <c r="J77"/>
  <c r="G77"/>
  <c r="F77"/>
  <c r="K76"/>
  <c r="J76"/>
  <c r="G76"/>
  <c r="F76"/>
  <c r="K75"/>
  <c r="J75"/>
  <c r="G75"/>
  <c r="F75"/>
  <c r="K74"/>
  <c r="J74"/>
  <c r="G74"/>
  <c r="F74"/>
  <c r="K73"/>
  <c r="J73"/>
  <c r="G73"/>
  <c r="F73"/>
  <c r="K72"/>
  <c r="J72"/>
  <c r="G72"/>
  <c r="F72"/>
  <c r="K71"/>
  <c r="J71"/>
  <c r="G71"/>
  <c r="F71"/>
  <c r="K70"/>
  <c r="J70"/>
  <c r="G70"/>
  <c r="F70"/>
  <c r="K69"/>
  <c r="J69"/>
  <c r="G69"/>
  <c r="F69"/>
  <c r="K68"/>
  <c r="J68"/>
  <c r="G68"/>
  <c r="F68"/>
  <c r="K67"/>
  <c r="J67"/>
  <c r="G67"/>
  <c r="F67"/>
  <c r="K66"/>
  <c r="J66"/>
  <c r="G66"/>
  <c r="F66"/>
  <c r="K65"/>
  <c r="J65"/>
  <c r="G65"/>
  <c r="F65"/>
  <c r="K64"/>
  <c r="J64"/>
  <c r="G64"/>
  <c r="F64"/>
  <c r="K63"/>
  <c r="J63"/>
  <c r="G63"/>
  <c r="K62"/>
  <c r="J62"/>
  <c r="G62"/>
  <c r="F62"/>
  <c r="K61"/>
  <c r="J61"/>
  <c r="G61"/>
  <c r="F61"/>
  <c r="K60"/>
  <c r="J60"/>
  <c r="G60"/>
  <c r="F60"/>
  <c r="K59"/>
  <c r="J59"/>
  <c r="G59"/>
  <c r="F59"/>
  <c r="K58"/>
  <c r="J58"/>
  <c r="G58"/>
  <c r="F58"/>
  <c r="K57"/>
  <c r="J57"/>
  <c r="G57"/>
  <c r="F57"/>
  <c r="K56"/>
  <c r="J56"/>
  <c r="G56"/>
  <c r="F56"/>
  <c r="K55"/>
  <c r="J55"/>
  <c r="G55"/>
  <c r="H54"/>
  <c r="I53"/>
  <c r="K52"/>
  <c r="J52"/>
  <c r="G52"/>
  <c r="F52"/>
  <c r="I51"/>
  <c r="K50"/>
  <c r="J50"/>
  <c r="G50"/>
  <c r="F50"/>
  <c r="K49"/>
  <c r="J49"/>
  <c r="G49"/>
  <c r="F49"/>
  <c r="K48"/>
  <c r="J48"/>
  <c r="G48"/>
  <c r="F48"/>
  <c r="K47"/>
  <c r="J47"/>
  <c r="G47"/>
  <c r="F47"/>
  <c r="K46"/>
  <c r="J46"/>
  <c r="G46"/>
  <c r="F46"/>
  <c r="K45"/>
  <c r="J45"/>
  <c r="G45"/>
  <c r="F45"/>
  <c r="K44"/>
  <c r="J44"/>
  <c r="F44"/>
  <c r="K43"/>
  <c r="J43"/>
  <c r="G43"/>
  <c r="F43"/>
  <c r="K42"/>
  <c r="J42"/>
  <c r="G42"/>
  <c r="F42"/>
  <c r="G41"/>
  <c r="F41"/>
  <c r="K40"/>
  <c r="J40"/>
  <c r="G40"/>
  <c r="F40"/>
  <c r="K39"/>
  <c r="J39"/>
  <c r="F39"/>
  <c r="K38"/>
  <c r="J38"/>
  <c r="G38"/>
  <c r="F38"/>
  <c r="K37"/>
  <c r="J37"/>
  <c r="G37"/>
  <c r="F37"/>
  <c r="K36"/>
  <c r="J36"/>
  <c r="G36"/>
  <c r="F36"/>
  <c r="K35"/>
  <c r="J35"/>
  <c r="G35"/>
  <c r="F35"/>
  <c r="K34"/>
  <c r="J34"/>
  <c r="G34"/>
  <c r="F34"/>
  <c r="K33"/>
  <c r="J33"/>
  <c r="G33"/>
  <c r="F33"/>
  <c r="K32"/>
  <c r="J32"/>
  <c r="G32"/>
  <c r="F32"/>
  <c r="K31"/>
  <c r="J31"/>
  <c r="G31"/>
  <c r="F31"/>
  <c r="K30"/>
  <c r="J30"/>
  <c r="G30"/>
  <c r="F30"/>
  <c r="K29"/>
  <c r="J29"/>
  <c r="G29"/>
  <c r="F29"/>
  <c r="K28"/>
  <c r="J28"/>
  <c r="G28"/>
  <c r="F28"/>
  <c r="K27"/>
  <c r="J27"/>
  <c r="G27"/>
  <c r="F27"/>
  <c r="K26"/>
  <c r="J26"/>
  <c r="G26"/>
  <c r="F26"/>
  <c r="K25"/>
  <c r="J25"/>
  <c r="G25"/>
  <c r="F25"/>
  <c r="K24"/>
  <c r="J24"/>
  <c r="G24"/>
  <c r="F24"/>
  <c r="K23"/>
  <c r="J23"/>
  <c r="G23"/>
  <c r="F23"/>
  <c r="K22"/>
  <c r="J22"/>
  <c r="G22"/>
  <c r="F22"/>
  <c r="K21"/>
  <c r="J21"/>
  <c r="G21"/>
  <c r="F21"/>
  <c r="K20"/>
  <c r="J20"/>
  <c r="G20"/>
  <c r="F20"/>
  <c r="K19"/>
  <c r="J19"/>
  <c r="G19"/>
  <c r="F19"/>
  <c r="K18"/>
  <c r="J18"/>
  <c r="G18"/>
  <c r="F18"/>
  <c r="K17"/>
  <c r="J17"/>
  <c r="G17"/>
  <c r="F17"/>
  <c r="K16"/>
  <c r="J16"/>
  <c r="G16"/>
  <c r="F16"/>
  <c r="K15"/>
  <c r="J15"/>
  <c r="G15"/>
  <c r="F15"/>
  <c r="K14"/>
  <c r="J14"/>
  <c r="G14"/>
  <c r="F14"/>
  <c r="K13"/>
  <c r="J13"/>
  <c r="G13"/>
  <c r="F13"/>
  <c r="H12"/>
  <c r="I11"/>
  <c r="H9"/>
  <c r="K8"/>
  <c r="J8"/>
  <c r="Q22" i="11" l="1"/>
  <c r="R22"/>
  <c r="H145" i="8"/>
  <c r="Q86" i="12"/>
  <c r="R86"/>
  <c r="C16" i="11"/>
  <c r="O16" s="1"/>
  <c r="R16" s="1"/>
  <c r="O91" i="12"/>
  <c r="E91"/>
  <c r="P79"/>
  <c r="D15" i="11"/>
  <c r="P98" i="12"/>
  <c r="D103"/>
  <c r="P103" s="1"/>
  <c r="Q74"/>
  <c r="R74"/>
  <c r="C15" i="11"/>
  <c r="O79" i="12"/>
  <c r="E79"/>
  <c r="C103"/>
  <c r="E98"/>
  <c r="O98"/>
  <c r="P140" i="7"/>
  <c r="Q140"/>
  <c r="U44" i="10"/>
  <c r="S11"/>
  <c r="U11" s="1"/>
  <c r="T81"/>
  <c r="T53"/>
  <c r="H11"/>
  <c r="T44"/>
  <c r="T51" s="1"/>
  <c r="T143" s="1"/>
  <c r="T104"/>
  <c r="T83"/>
  <c r="T11"/>
  <c r="T137" i="4"/>
  <c r="T106"/>
  <c r="P51"/>
  <c r="P143" s="1"/>
  <c r="T51"/>
  <c r="T143" s="1"/>
  <c r="T11"/>
  <c r="T104"/>
  <c r="T83"/>
  <c r="H104"/>
  <c r="H143" s="1"/>
  <c r="U81" i="8"/>
  <c r="T140" i="6"/>
  <c r="H143" i="10"/>
  <c r="T137"/>
  <c r="U143" i="8"/>
  <c r="U143" i="4"/>
  <c r="G81" i="7"/>
  <c r="K81"/>
  <c r="F11"/>
  <c r="F51"/>
  <c r="G53"/>
  <c r="K53"/>
  <c r="H56"/>
  <c r="H57"/>
  <c r="H58"/>
  <c r="H59"/>
  <c r="H62"/>
  <c r="H64"/>
  <c r="H65"/>
  <c r="H68"/>
  <c r="H69"/>
  <c r="H70"/>
  <c r="H71"/>
  <c r="H72"/>
  <c r="H75"/>
  <c r="H76"/>
  <c r="H77"/>
  <c r="H78"/>
  <c r="H79"/>
  <c r="H80"/>
  <c r="T104" i="8"/>
  <c r="T83"/>
  <c r="T8"/>
  <c r="U8"/>
  <c r="T137"/>
  <c r="T106"/>
  <c r="U44"/>
  <c r="S11"/>
  <c r="U11" s="1"/>
  <c r="H108" i="7"/>
  <c r="H109"/>
  <c r="H110"/>
  <c r="H111"/>
  <c r="H112"/>
  <c r="H113"/>
  <c r="H114"/>
  <c r="H115"/>
  <c r="H118"/>
  <c r="H119"/>
  <c r="H120"/>
  <c r="H121"/>
  <c r="H124"/>
  <c r="H125"/>
  <c r="H126"/>
  <c r="H129"/>
  <c r="H130"/>
  <c r="H131"/>
  <c r="H134"/>
  <c r="H135"/>
  <c r="H136"/>
  <c r="T44" i="8"/>
  <c r="T11" s="1"/>
  <c r="H51"/>
  <c r="K104" i="7"/>
  <c r="K83"/>
  <c r="J81"/>
  <c r="J53"/>
  <c r="G83"/>
  <c r="H14"/>
  <c r="H15"/>
  <c r="H16"/>
  <c r="H17"/>
  <c r="H20"/>
  <c r="H21"/>
  <c r="H24"/>
  <c r="H25"/>
  <c r="H26"/>
  <c r="H29"/>
  <c r="H30"/>
  <c r="H31"/>
  <c r="H32"/>
  <c r="H35"/>
  <c r="H36"/>
  <c r="H37"/>
  <c r="H38"/>
  <c r="H40"/>
  <c r="H41"/>
  <c r="H42"/>
  <c r="H43"/>
  <c r="H45"/>
  <c r="H46"/>
  <c r="H49"/>
  <c r="H50"/>
  <c r="H86"/>
  <c r="H87"/>
  <c r="H88"/>
  <c r="H89"/>
  <c r="H92"/>
  <c r="H93"/>
  <c r="H94"/>
  <c r="H95"/>
  <c r="H96"/>
  <c r="H97"/>
  <c r="H98"/>
  <c r="H101"/>
  <c r="H102"/>
  <c r="H103"/>
  <c r="H13"/>
  <c r="H85"/>
  <c r="R80" i="6"/>
  <c r="S79"/>
  <c r="S77"/>
  <c r="R76"/>
  <c r="S75"/>
  <c r="R72"/>
  <c r="S71"/>
  <c r="R70"/>
  <c r="S69"/>
  <c r="R68"/>
  <c r="S65"/>
  <c r="R64"/>
  <c r="S63"/>
  <c r="S62"/>
  <c r="S59"/>
  <c r="S57"/>
  <c r="S56"/>
  <c r="S55"/>
  <c r="S49"/>
  <c r="R49"/>
  <c r="S46"/>
  <c r="S43"/>
  <c r="R42"/>
  <c r="S40"/>
  <c r="H38"/>
  <c r="R37"/>
  <c r="H36"/>
  <c r="R35"/>
  <c r="H32"/>
  <c r="R31"/>
  <c r="H30"/>
  <c r="R29"/>
  <c r="H26"/>
  <c r="R25"/>
  <c r="S24"/>
  <c r="R24"/>
  <c r="R21"/>
  <c r="R20"/>
  <c r="R17"/>
  <c r="R16"/>
  <c r="R15"/>
  <c r="R14"/>
  <c r="Q137" i="1"/>
  <c r="O137"/>
  <c r="N137"/>
  <c r="M137"/>
  <c r="K137"/>
  <c r="J137"/>
  <c r="I137"/>
  <c r="G137"/>
  <c r="G143" s="1"/>
  <c r="F137"/>
  <c r="S136"/>
  <c r="U136" s="1"/>
  <c r="R136"/>
  <c r="P136"/>
  <c r="L136"/>
  <c r="H136"/>
  <c r="S135"/>
  <c r="R135"/>
  <c r="T135" s="1"/>
  <c r="P135"/>
  <c r="L135"/>
  <c r="H135"/>
  <c r="S134"/>
  <c r="U134" s="1"/>
  <c r="R134"/>
  <c r="P134"/>
  <c r="L134"/>
  <c r="H134"/>
  <c r="S131"/>
  <c r="R131"/>
  <c r="T131" s="1"/>
  <c r="P131"/>
  <c r="L131"/>
  <c r="H131"/>
  <c r="S130"/>
  <c r="U130" s="1"/>
  <c r="R130"/>
  <c r="P130"/>
  <c r="L130"/>
  <c r="H130"/>
  <c r="S129"/>
  <c r="R129"/>
  <c r="T129" s="1"/>
  <c r="P129"/>
  <c r="L129"/>
  <c r="H129"/>
  <c r="S126"/>
  <c r="U126" s="1"/>
  <c r="R126"/>
  <c r="P126"/>
  <c r="L126"/>
  <c r="H126"/>
  <c r="S125"/>
  <c r="R125"/>
  <c r="T125" s="1"/>
  <c r="P125"/>
  <c r="L125"/>
  <c r="H125"/>
  <c r="S124"/>
  <c r="U124" s="1"/>
  <c r="R124"/>
  <c r="P124"/>
  <c r="L124"/>
  <c r="H124"/>
  <c r="S121"/>
  <c r="R121"/>
  <c r="T121" s="1"/>
  <c r="P121"/>
  <c r="L121"/>
  <c r="H121"/>
  <c r="S120"/>
  <c r="U120" s="1"/>
  <c r="R120"/>
  <c r="P120"/>
  <c r="L120"/>
  <c r="H120"/>
  <c r="S119"/>
  <c r="R119"/>
  <c r="T119" s="1"/>
  <c r="P119"/>
  <c r="L119"/>
  <c r="H119"/>
  <c r="S118"/>
  <c r="U118" s="1"/>
  <c r="R118"/>
  <c r="P118"/>
  <c r="L118"/>
  <c r="H118"/>
  <c r="S115"/>
  <c r="R115"/>
  <c r="T115" s="1"/>
  <c r="P115"/>
  <c r="L115"/>
  <c r="H115"/>
  <c r="S114"/>
  <c r="U114" s="1"/>
  <c r="R114"/>
  <c r="P114"/>
  <c r="L114"/>
  <c r="H114"/>
  <c r="S113"/>
  <c r="R113"/>
  <c r="T113" s="1"/>
  <c r="P113"/>
  <c r="L113"/>
  <c r="H113"/>
  <c r="S112"/>
  <c r="U112" s="1"/>
  <c r="R112"/>
  <c r="P112"/>
  <c r="L112"/>
  <c r="H112"/>
  <c r="S111"/>
  <c r="R111"/>
  <c r="T111" s="1"/>
  <c r="P111"/>
  <c r="L111"/>
  <c r="H111"/>
  <c r="S110"/>
  <c r="U110" s="1"/>
  <c r="R110"/>
  <c r="P110"/>
  <c r="L110"/>
  <c r="H110"/>
  <c r="S109"/>
  <c r="R109"/>
  <c r="T109" s="1"/>
  <c r="P109"/>
  <c r="L109"/>
  <c r="L106" s="1"/>
  <c r="H109"/>
  <c r="S108"/>
  <c r="S137" s="1"/>
  <c r="R108"/>
  <c r="P108"/>
  <c r="P137" s="1"/>
  <c r="L108"/>
  <c r="H108"/>
  <c r="H137" s="1"/>
  <c r="P107"/>
  <c r="L107"/>
  <c r="H107"/>
  <c r="S106"/>
  <c r="Q106"/>
  <c r="O106"/>
  <c r="N106"/>
  <c r="M106"/>
  <c r="K106"/>
  <c r="J106"/>
  <c r="I106"/>
  <c r="G106"/>
  <c r="D14" i="12" s="1"/>
  <c r="F106" i="1"/>
  <c r="Q104"/>
  <c r="O104"/>
  <c r="N104"/>
  <c r="M104"/>
  <c r="K104"/>
  <c r="J104"/>
  <c r="I104"/>
  <c r="G104"/>
  <c r="F104"/>
  <c r="S103"/>
  <c r="R103"/>
  <c r="T103" s="1"/>
  <c r="P103"/>
  <c r="L103"/>
  <c r="H103"/>
  <c r="S102"/>
  <c r="U102" s="1"/>
  <c r="R102"/>
  <c r="P102"/>
  <c r="L102"/>
  <c r="H102"/>
  <c r="S101"/>
  <c r="R101"/>
  <c r="T101" s="1"/>
  <c r="P101"/>
  <c r="L101"/>
  <c r="H101"/>
  <c r="S98"/>
  <c r="U98" s="1"/>
  <c r="R98"/>
  <c r="P98"/>
  <c r="L98"/>
  <c r="H98"/>
  <c r="S97"/>
  <c r="R97"/>
  <c r="T97" s="1"/>
  <c r="P97"/>
  <c r="L97"/>
  <c r="H97"/>
  <c r="S96"/>
  <c r="U96" s="1"/>
  <c r="R96"/>
  <c r="P96"/>
  <c r="L96"/>
  <c r="H96"/>
  <c r="S95"/>
  <c r="R95"/>
  <c r="T95" s="1"/>
  <c r="P95"/>
  <c r="L95"/>
  <c r="H95"/>
  <c r="S94"/>
  <c r="U94" s="1"/>
  <c r="R94"/>
  <c r="P94"/>
  <c r="L94"/>
  <c r="H94"/>
  <c r="S93"/>
  <c r="R93"/>
  <c r="T93" s="1"/>
  <c r="P93"/>
  <c r="L93"/>
  <c r="H93"/>
  <c r="S92"/>
  <c r="U92" s="1"/>
  <c r="R92"/>
  <c r="P92"/>
  <c r="L92"/>
  <c r="H92"/>
  <c r="S89"/>
  <c r="R89"/>
  <c r="T89" s="1"/>
  <c r="P89"/>
  <c r="L89"/>
  <c r="H89"/>
  <c r="S88"/>
  <c r="U88" s="1"/>
  <c r="R88"/>
  <c r="P88"/>
  <c r="L88"/>
  <c r="H88"/>
  <c r="S87"/>
  <c r="R87"/>
  <c r="T87" s="1"/>
  <c r="P87"/>
  <c r="L87"/>
  <c r="H87"/>
  <c r="S86"/>
  <c r="U86" s="1"/>
  <c r="R86"/>
  <c r="P86"/>
  <c r="L86"/>
  <c r="H86"/>
  <c r="S85"/>
  <c r="R85"/>
  <c r="R104" s="1"/>
  <c r="P85"/>
  <c r="L85"/>
  <c r="L104" s="1"/>
  <c r="H85"/>
  <c r="P84"/>
  <c r="L84"/>
  <c r="H84"/>
  <c r="R83"/>
  <c r="Q83"/>
  <c r="P83"/>
  <c r="O83"/>
  <c r="N83"/>
  <c r="M83"/>
  <c r="L83"/>
  <c r="K83"/>
  <c r="J83"/>
  <c r="I83"/>
  <c r="H83"/>
  <c r="G83"/>
  <c r="F83"/>
  <c r="Q81"/>
  <c r="O81"/>
  <c r="N81"/>
  <c r="M81"/>
  <c r="K81"/>
  <c r="J81"/>
  <c r="I81"/>
  <c r="G81"/>
  <c r="F81"/>
  <c r="S80"/>
  <c r="U80" s="1"/>
  <c r="R80"/>
  <c r="P80"/>
  <c r="L80"/>
  <c r="H80"/>
  <c r="S79"/>
  <c r="R79"/>
  <c r="T79" s="1"/>
  <c r="P79"/>
  <c r="L79"/>
  <c r="H79"/>
  <c r="S78"/>
  <c r="U78" s="1"/>
  <c r="R78"/>
  <c r="P78"/>
  <c r="L78"/>
  <c r="H78"/>
  <c r="S77"/>
  <c r="R77"/>
  <c r="T77" s="1"/>
  <c r="P77"/>
  <c r="L77"/>
  <c r="H77"/>
  <c r="S76"/>
  <c r="U76" s="1"/>
  <c r="R76"/>
  <c r="P76"/>
  <c r="L76"/>
  <c r="H76"/>
  <c r="S75"/>
  <c r="R75"/>
  <c r="T75" s="1"/>
  <c r="P75"/>
  <c r="L75"/>
  <c r="H75"/>
  <c r="S72"/>
  <c r="U72" s="1"/>
  <c r="R72"/>
  <c r="P72"/>
  <c r="L72"/>
  <c r="H72"/>
  <c r="S71"/>
  <c r="R71"/>
  <c r="T71" s="1"/>
  <c r="P71"/>
  <c r="L71"/>
  <c r="H71"/>
  <c r="S70"/>
  <c r="U70" s="1"/>
  <c r="R70"/>
  <c r="P70"/>
  <c r="L70"/>
  <c r="H70"/>
  <c r="S69"/>
  <c r="R69"/>
  <c r="T69" s="1"/>
  <c r="P69"/>
  <c r="L69"/>
  <c r="H69"/>
  <c r="S68"/>
  <c r="U68" s="1"/>
  <c r="R68"/>
  <c r="P68"/>
  <c r="L68"/>
  <c r="H68"/>
  <c r="S65"/>
  <c r="R65"/>
  <c r="T65" s="1"/>
  <c r="P65"/>
  <c r="L65"/>
  <c r="H65"/>
  <c r="S64"/>
  <c r="U64" s="1"/>
  <c r="R64"/>
  <c r="P64"/>
  <c r="L64"/>
  <c r="H64"/>
  <c r="S63"/>
  <c r="R63"/>
  <c r="T63" s="1"/>
  <c r="P63"/>
  <c r="L63"/>
  <c r="H63"/>
  <c r="S62"/>
  <c r="U62" s="1"/>
  <c r="R62"/>
  <c r="P62"/>
  <c r="L62"/>
  <c r="H62"/>
  <c r="S59"/>
  <c r="R59"/>
  <c r="T59" s="1"/>
  <c r="P59"/>
  <c r="L59"/>
  <c r="H59"/>
  <c r="S58"/>
  <c r="U58" s="1"/>
  <c r="R58"/>
  <c r="P58"/>
  <c r="L58"/>
  <c r="H58"/>
  <c r="S57"/>
  <c r="R57"/>
  <c r="T57" s="1"/>
  <c r="P57"/>
  <c r="L57"/>
  <c r="H57"/>
  <c r="S56"/>
  <c r="U56" s="1"/>
  <c r="R56"/>
  <c r="P56"/>
  <c r="L56"/>
  <c r="H56"/>
  <c r="S55"/>
  <c r="R55"/>
  <c r="T55" s="1"/>
  <c r="P55"/>
  <c r="L55"/>
  <c r="L81" s="1"/>
  <c r="H55"/>
  <c r="P54"/>
  <c r="L54"/>
  <c r="H54"/>
  <c r="R53"/>
  <c r="Q53"/>
  <c r="P53"/>
  <c r="O53"/>
  <c r="N53"/>
  <c r="M53"/>
  <c r="L53"/>
  <c r="K53"/>
  <c r="J53"/>
  <c r="I53"/>
  <c r="H53"/>
  <c r="G53"/>
  <c r="F53"/>
  <c r="Q51"/>
  <c r="O51"/>
  <c r="N51"/>
  <c r="M51"/>
  <c r="M143" s="1"/>
  <c r="K51"/>
  <c r="J51"/>
  <c r="I51"/>
  <c r="F51"/>
  <c r="S50"/>
  <c r="R50"/>
  <c r="T50" s="1"/>
  <c r="P50"/>
  <c r="L50"/>
  <c r="H50"/>
  <c r="S49"/>
  <c r="U49" s="1"/>
  <c r="R49"/>
  <c r="P49"/>
  <c r="L49"/>
  <c r="H49"/>
  <c r="S46"/>
  <c r="R46"/>
  <c r="T46" s="1"/>
  <c r="P46"/>
  <c r="L46"/>
  <c r="H46"/>
  <c r="S45"/>
  <c r="U45" s="1"/>
  <c r="R45"/>
  <c r="P45"/>
  <c r="L45"/>
  <c r="H45"/>
  <c r="R44"/>
  <c r="P44"/>
  <c r="L44"/>
  <c r="G44"/>
  <c r="S43"/>
  <c r="R43"/>
  <c r="T43" s="1"/>
  <c r="P43"/>
  <c r="L43"/>
  <c r="H43"/>
  <c r="S42"/>
  <c r="U42" s="1"/>
  <c r="R42"/>
  <c r="P42"/>
  <c r="L42"/>
  <c r="H42"/>
  <c r="S41"/>
  <c r="R41"/>
  <c r="T41" s="1"/>
  <c r="P41"/>
  <c r="L41"/>
  <c r="H41"/>
  <c r="S40"/>
  <c r="U40" s="1"/>
  <c r="R40"/>
  <c r="P40"/>
  <c r="L40"/>
  <c r="H40"/>
  <c r="R39"/>
  <c r="P39"/>
  <c r="L39"/>
  <c r="G39"/>
  <c r="S38"/>
  <c r="R38"/>
  <c r="T38" s="1"/>
  <c r="P38"/>
  <c r="L38"/>
  <c r="H38"/>
  <c r="S37"/>
  <c r="U37" s="1"/>
  <c r="R37"/>
  <c r="P37"/>
  <c r="L37"/>
  <c r="H37"/>
  <c r="S36"/>
  <c r="R36"/>
  <c r="T36" s="1"/>
  <c r="P36"/>
  <c r="L36"/>
  <c r="H36"/>
  <c r="S35"/>
  <c r="U35" s="1"/>
  <c r="R35"/>
  <c r="P35"/>
  <c r="L35"/>
  <c r="H35"/>
  <c r="S32"/>
  <c r="R32"/>
  <c r="T32" s="1"/>
  <c r="P32"/>
  <c r="L32"/>
  <c r="H32"/>
  <c r="S31"/>
  <c r="U31" s="1"/>
  <c r="R31"/>
  <c r="P31"/>
  <c r="L31"/>
  <c r="H31"/>
  <c r="S30"/>
  <c r="R30"/>
  <c r="T30" s="1"/>
  <c r="P30"/>
  <c r="L30"/>
  <c r="H30"/>
  <c r="S29"/>
  <c r="U29" s="1"/>
  <c r="R29"/>
  <c r="P29"/>
  <c r="L29"/>
  <c r="H29"/>
  <c r="S26"/>
  <c r="R26"/>
  <c r="T26" s="1"/>
  <c r="P26"/>
  <c r="L26"/>
  <c r="H26"/>
  <c r="S25"/>
  <c r="U25" s="1"/>
  <c r="R25"/>
  <c r="P25"/>
  <c r="L25"/>
  <c r="H25"/>
  <c r="S24"/>
  <c r="R24"/>
  <c r="T24" s="1"/>
  <c r="P24"/>
  <c r="L24"/>
  <c r="H24"/>
  <c r="S21"/>
  <c r="U21" s="1"/>
  <c r="R21"/>
  <c r="P21"/>
  <c r="L21"/>
  <c r="H21"/>
  <c r="S20"/>
  <c r="R20"/>
  <c r="T20" s="1"/>
  <c r="P20"/>
  <c r="L20"/>
  <c r="H20"/>
  <c r="S17"/>
  <c r="U17" s="1"/>
  <c r="R17"/>
  <c r="P17"/>
  <c r="L17"/>
  <c r="H17"/>
  <c r="S16"/>
  <c r="R16"/>
  <c r="T16" s="1"/>
  <c r="P16"/>
  <c r="L16"/>
  <c r="H16"/>
  <c r="S15"/>
  <c r="U15" s="1"/>
  <c r="R15"/>
  <c r="P15"/>
  <c r="L15"/>
  <c r="H15"/>
  <c r="S14"/>
  <c r="R14"/>
  <c r="T14" s="1"/>
  <c r="P14"/>
  <c r="L14"/>
  <c r="L11" s="1"/>
  <c r="H14"/>
  <c r="S13"/>
  <c r="U13" s="1"/>
  <c r="R13"/>
  <c r="P13"/>
  <c r="P51" s="1"/>
  <c r="L13"/>
  <c r="H13"/>
  <c r="P12"/>
  <c r="L12"/>
  <c r="H12"/>
  <c r="R11"/>
  <c r="Q11"/>
  <c r="O11"/>
  <c r="N11"/>
  <c r="M11"/>
  <c r="K11"/>
  <c r="J11"/>
  <c r="I11"/>
  <c r="F11"/>
  <c r="P9"/>
  <c r="L9"/>
  <c r="H9"/>
  <c r="S8"/>
  <c r="P8"/>
  <c r="L8"/>
  <c r="F8"/>
  <c r="Q137" i="3"/>
  <c r="O137"/>
  <c r="N137"/>
  <c r="N143" s="1"/>
  <c r="M137"/>
  <c r="K137"/>
  <c r="K143" s="1"/>
  <c r="J137"/>
  <c r="J143" s="1"/>
  <c r="I137"/>
  <c r="S136"/>
  <c r="U136" s="1"/>
  <c r="R136"/>
  <c r="P136"/>
  <c r="L136"/>
  <c r="H136"/>
  <c r="S135"/>
  <c r="R135"/>
  <c r="T135" s="1"/>
  <c r="P135"/>
  <c r="L135"/>
  <c r="H135"/>
  <c r="S134"/>
  <c r="U134" s="1"/>
  <c r="R134"/>
  <c r="P134"/>
  <c r="L134"/>
  <c r="H134"/>
  <c r="S131"/>
  <c r="R131"/>
  <c r="T131" s="1"/>
  <c r="P131"/>
  <c r="L131"/>
  <c r="H131"/>
  <c r="S130"/>
  <c r="U130" s="1"/>
  <c r="R130"/>
  <c r="P130"/>
  <c r="L130"/>
  <c r="H130"/>
  <c r="S129"/>
  <c r="R129"/>
  <c r="T129" s="1"/>
  <c r="P129"/>
  <c r="L129"/>
  <c r="H129"/>
  <c r="S126"/>
  <c r="U126" s="1"/>
  <c r="R126"/>
  <c r="P126"/>
  <c r="L126"/>
  <c r="H126"/>
  <c r="S125"/>
  <c r="R125"/>
  <c r="T125" s="1"/>
  <c r="P125"/>
  <c r="L125"/>
  <c r="H125"/>
  <c r="S124"/>
  <c r="U124" s="1"/>
  <c r="R124"/>
  <c r="P124"/>
  <c r="L124"/>
  <c r="H124"/>
  <c r="S121"/>
  <c r="R121"/>
  <c r="T121" s="1"/>
  <c r="P121"/>
  <c r="L121"/>
  <c r="H121"/>
  <c r="S120"/>
  <c r="U120" s="1"/>
  <c r="R120"/>
  <c r="P120"/>
  <c r="L120"/>
  <c r="H120"/>
  <c r="S119"/>
  <c r="R119"/>
  <c r="T119" s="1"/>
  <c r="P119"/>
  <c r="L119"/>
  <c r="H119"/>
  <c r="S118"/>
  <c r="U118" s="1"/>
  <c r="R118"/>
  <c r="P118"/>
  <c r="L118"/>
  <c r="H118"/>
  <c r="S115"/>
  <c r="R115"/>
  <c r="T115" s="1"/>
  <c r="P115"/>
  <c r="L115"/>
  <c r="H115"/>
  <c r="S114"/>
  <c r="U114" s="1"/>
  <c r="R114"/>
  <c r="P114"/>
  <c r="L114"/>
  <c r="H114"/>
  <c r="S113"/>
  <c r="R113"/>
  <c r="T113" s="1"/>
  <c r="P113"/>
  <c r="L113"/>
  <c r="H113"/>
  <c r="S112"/>
  <c r="U112" s="1"/>
  <c r="R112"/>
  <c r="P112"/>
  <c r="L112"/>
  <c r="H112"/>
  <c r="S111"/>
  <c r="R111"/>
  <c r="T111" s="1"/>
  <c r="P111"/>
  <c r="L111"/>
  <c r="H111"/>
  <c r="S110"/>
  <c r="U110" s="1"/>
  <c r="R110"/>
  <c r="P110"/>
  <c r="L110"/>
  <c r="H110"/>
  <c r="S109"/>
  <c r="R109"/>
  <c r="T109" s="1"/>
  <c r="P109"/>
  <c r="L109"/>
  <c r="L106" s="1"/>
  <c r="H109"/>
  <c r="S108"/>
  <c r="S137" s="1"/>
  <c r="R108"/>
  <c r="P108"/>
  <c r="P137" s="1"/>
  <c r="L108"/>
  <c r="H108"/>
  <c r="H137" s="1"/>
  <c r="P107"/>
  <c r="L107"/>
  <c r="H107"/>
  <c r="S106"/>
  <c r="Q106"/>
  <c r="O106"/>
  <c r="N106"/>
  <c r="K38" i="12" s="1"/>
  <c r="M106" i="3"/>
  <c r="K106"/>
  <c r="H38" i="12" s="1"/>
  <c r="J106" i="3"/>
  <c r="G38" i="12" s="1"/>
  <c r="I106" i="3"/>
  <c r="Q104"/>
  <c r="O104"/>
  <c r="N104"/>
  <c r="M104"/>
  <c r="K104"/>
  <c r="J104"/>
  <c r="I104"/>
  <c r="G104"/>
  <c r="F104"/>
  <c r="S103"/>
  <c r="R103"/>
  <c r="T103" s="1"/>
  <c r="P103"/>
  <c r="L103"/>
  <c r="H103"/>
  <c r="S102"/>
  <c r="U102" s="1"/>
  <c r="R102"/>
  <c r="P102"/>
  <c r="L102"/>
  <c r="H102"/>
  <c r="S101"/>
  <c r="R101"/>
  <c r="T101" s="1"/>
  <c r="P101"/>
  <c r="L101"/>
  <c r="H101"/>
  <c r="S98"/>
  <c r="U98" s="1"/>
  <c r="R98"/>
  <c r="P98"/>
  <c r="L98"/>
  <c r="H98"/>
  <c r="S97"/>
  <c r="R97"/>
  <c r="T97" s="1"/>
  <c r="P97"/>
  <c r="L97"/>
  <c r="H97"/>
  <c r="S96"/>
  <c r="U96" s="1"/>
  <c r="R96"/>
  <c r="P96"/>
  <c r="L96"/>
  <c r="H96"/>
  <c r="S95"/>
  <c r="R95"/>
  <c r="T95" s="1"/>
  <c r="P95"/>
  <c r="L95"/>
  <c r="H95"/>
  <c r="S94"/>
  <c r="U94" s="1"/>
  <c r="R94"/>
  <c r="P94"/>
  <c r="L94"/>
  <c r="H94"/>
  <c r="S93"/>
  <c r="R93"/>
  <c r="T93" s="1"/>
  <c r="P93"/>
  <c r="L93"/>
  <c r="H93"/>
  <c r="S92"/>
  <c r="U92" s="1"/>
  <c r="R92"/>
  <c r="P92"/>
  <c r="L92"/>
  <c r="H92"/>
  <c r="S89"/>
  <c r="R89"/>
  <c r="T89" s="1"/>
  <c r="P89"/>
  <c r="L89"/>
  <c r="H89"/>
  <c r="S88"/>
  <c r="U88" s="1"/>
  <c r="R88"/>
  <c r="P88"/>
  <c r="L88"/>
  <c r="H88"/>
  <c r="S87"/>
  <c r="R87"/>
  <c r="T87" s="1"/>
  <c r="P87"/>
  <c r="L87"/>
  <c r="H87"/>
  <c r="S86"/>
  <c r="U86" s="1"/>
  <c r="R86"/>
  <c r="P86"/>
  <c r="L86"/>
  <c r="H86"/>
  <c r="S85"/>
  <c r="R85"/>
  <c r="R104" s="1"/>
  <c r="P85"/>
  <c r="L85"/>
  <c r="L104" s="1"/>
  <c r="H85"/>
  <c r="P84"/>
  <c r="L84"/>
  <c r="H84"/>
  <c r="R83"/>
  <c r="Q83"/>
  <c r="P83"/>
  <c r="O83"/>
  <c r="N83"/>
  <c r="M83"/>
  <c r="L83"/>
  <c r="K83"/>
  <c r="J83"/>
  <c r="I83"/>
  <c r="H83"/>
  <c r="G83"/>
  <c r="F83"/>
  <c r="Q81"/>
  <c r="O81"/>
  <c r="N81"/>
  <c r="M81"/>
  <c r="K81"/>
  <c r="J81"/>
  <c r="I81"/>
  <c r="G81"/>
  <c r="S80"/>
  <c r="R80"/>
  <c r="T80" s="1"/>
  <c r="P80"/>
  <c r="L80"/>
  <c r="H80"/>
  <c r="S79"/>
  <c r="U79" s="1"/>
  <c r="R79"/>
  <c r="P79"/>
  <c r="L79"/>
  <c r="H79"/>
  <c r="S78"/>
  <c r="R78"/>
  <c r="T78" s="1"/>
  <c r="P78"/>
  <c r="L78"/>
  <c r="H78"/>
  <c r="S77"/>
  <c r="U77" s="1"/>
  <c r="R77"/>
  <c r="P77"/>
  <c r="L77"/>
  <c r="H77"/>
  <c r="S76"/>
  <c r="R76"/>
  <c r="T76" s="1"/>
  <c r="P76"/>
  <c r="L76"/>
  <c r="H76"/>
  <c r="S75"/>
  <c r="U75" s="1"/>
  <c r="R75"/>
  <c r="P75"/>
  <c r="L75"/>
  <c r="H75"/>
  <c r="S72"/>
  <c r="R72"/>
  <c r="T72" s="1"/>
  <c r="P72"/>
  <c r="L72"/>
  <c r="H72"/>
  <c r="S71"/>
  <c r="U71" s="1"/>
  <c r="R71"/>
  <c r="P71"/>
  <c r="L71"/>
  <c r="H71"/>
  <c r="S70"/>
  <c r="R70"/>
  <c r="T70" s="1"/>
  <c r="P70"/>
  <c r="L70"/>
  <c r="H70"/>
  <c r="S69"/>
  <c r="U69" s="1"/>
  <c r="R69"/>
  <c r="P69"/>
  <c r="L69"/>
  <c r="H69"/>
  <c r="S68"/>
  <c r="R68"/>
  <c r="T68" s="1"/>
  <c r="P68"/>
  <c r="L68"/>
  <c r="H68"/>
  <c r="S65"/>
  <c r="U65" s="1"/>
  <c r="R65"/>
  <c r="P65"/>
  <c r="L65"/>
  <c r="H65"/>
  <c r="S64"/>
  <c r="R64"/>
  <c r="T64" s="1"/>
  <c r="P64"/>
  <c r="L64"/>
  <c r="H64"/>
  <c r="S63"/>
  <c r="U63" s="1"/>
  <c r="R63"/>
  <c r="P63"/>
  <c r="L63"/>
  <c r="H63"/>
  <c r="S62"/>
  <c r="R62"/>
  <c r="T62" s="1"/>
  <c r="P62"/>
  <c r="L62"/>
  <c r="H62"/>
  <c r="S59"/>
  <c r="U59" s="1"/>
  <c r="R59"/>
  <c r="P59"/>
  <c r="L59"/>
  <c r="H59"/>
  <c r="S58"/>
  <c r="R58"/>
  <c r="T58" s="1"/>
  <c r="P58"/>
  <c r="L58"/>
  <c r="H58"/>
  <c r="S57"/>
  <c r="U57" s="1"/>
  <c r="R57"/>
  <c r="P57"/>
  <c r="P53" s="1"/>
  <c r="L57"/>
  <c r="H57"/>
  <c r="S56"/>
  <c r="R56"/>
  <c r="T56" s="1"/>
  <c r="P56"/>
  <c r="L56"/>
  <c r="H56"/>
  <c r="S55"/>
  <c r="S81" s="1"/>
  <c r="P55"/>
  <c r="L55"/>
  <c r="L81" s="1"/>
  <c r="F55"/>
  <c r="R55" s="1"/>
  <c r="P54"/>
  <c r="L54"/>
  <c r="H54"/>
  <c r="Q53"/>
  <c r="O53"/>
  <c r="N53"/>
  <c r="M53"/>
  <c r="K53"/>
  <c r="J53"/>
  <c r="I53"/>
  <c r="G53"/>
  <c r="F53"/>
  <c r="Q51"/>
  <c r="M51"/>
  <c r="K51"/>
  <c r="J51"/>
  <c r="I51"/>
  <c r="G51"/>
  <c r="F51"/>
  <c r="S50"/>
  <c r="U50" s="1"/>
  <c r="R50"/>
  <c r="P50"/>
  <c r="L50"/>
  <c r="H50"/>
  <c r="S49"/>
  <c r="R49"/>
  <c r="T49" s="1"/>
  <c r="P49"/>
  <c r="L49"/>
  <c r="H49"/>
  <c r="S46"/>
  <c r="U46" s="1"/>
  <c r="R46"/>
  <c r="P46"/>
  <c r="L46"/>
  <c r="H46"/>
  <c r="O45"/>
  <c r="O51" s="1"/>
  <c r="N45"/>
  <c r="R45" s="1"/>
  <c r="L45"/>
  <c r="H45"/>
  <c r="S44"/>
  <c r="R44"/>
  <c r="T44" s="1"/>
  <c r="P44"/>
  <c r="L44"/>
  <c r="H44"/>
  <c r="S43"/>
  <c r="U43" s="1"/>
  <c r="R43"/>
  <c r="P43"/>
  <c r="L43"/>
  <c r="H43"/>
  <c r="S42"/>
  <c r="R42"/>
  <c r="T42" s="1"/>
  <c r="P42"/>
  <c r="L42"/>
  <c r="H42"/>
  <c r="S41"/>
  <c r="U41" s="1"/>
  <c r="R41"/>
  <c r="P41"/>
  <c r="L41"/>
  <c r="H41"/>
  <c r="S40"/>
  <c r="R40"/>
  <c r="T40" s="1"/>
  <c r="P40"/>
  <c r="L40"/>
  <c r="H40"/>
  <c r="S39"/>
  <c r="U39" s="1"/>
  <c r="R39"/>
  <c r="P39"/>
  <c r="L39"/>
  <c r="H39"/>
  <c r="S38"/>
  <c r="R38"/>
  <c r="T38" s="1"/>
  <c r="P38"/>
  <c r="L38"/>
  <c r="H38"/>
  <c r="S37"/>
  <c r="U37" s="1"/>
  <c r="R37"/>
  <c r="P37"/>
  <c r="L37"/>
  <c r="H37"/>
  <c r="S36"/>
  <c r="R36"/>
  <c r="T36" s="1"/>
  <c r="P36"/>
  <c r="L36"/>
  <c r="H36"/>
  <c r="S35"/>
  <c r="U35" s="1"/>
  <c r="R35"/>
  <c r="P35"/>
  <c r="L35"/>
  <c r="H35"/>
  <c r="S32"/>
  <c r="R32"/>
  <c r="T32" s="1"/>
  <c r="P32"/>
  <c r="L32"/>
  <c r="H32"/>
  <c r="S31"/>
  <c r="U31" s="1"/>
  <c r="R31"/>
  <c r="P31"/>
  <c r="L31"/>
  <c r="H31"/>
  <c r="S30"/>
  <c r="R30"/>
  <c r="T30" s="1"/>
  <c r="P30"/>
  <c r="L30"/>
  <c r="H30"/>
  <c r="S29"/>
  <c r="U29" s="1"/>
  <c r="R29"/>
  <c r="P29"/>
  <c r="L29"/>
  <c r="H29"/>
  <c r="S26"/>
  <c r="R26"/>
  <c r="T26" s="1"/>
  <c r="P26"/>
  <c r="L26"/>
  <c r="H26"/>
  <c r="S25"/>
  <c r="U25" s="1"/>
  <c r="R25"/>
  <c r="P25"/>
  <c r="L25"/>
  <c r="H25"/>
  <c r="S24"/>
  <c r="R24"/>
  <c r="T24" s="1"/>
  <c r="P24"/>
  <c r="L24"/>
  <c r="H24"/>
  <c r="S21"/>
  <c r="U21" s="1"/>
  <c r="R21"/>
  <c r="P21"/>
  <c r="L21"/>
  <c r="H21"/>
  <c r="S20"/>
  <c r="R20"/>
  <c r="T20" s="1"/>
  <c r="P20"/>
  <c r="L20"/>
  <c r="H20"/>
  <c r="S17"/>
  <c r="U17" s="1"/>
  <c r="R17"/>
  <c r="P17"/>
  <c r="L17"/>
  <c r="H17"/>
  <c r="S16"/>
  <c r="R16"/>
  <c r="T16" s="1"/>
  <c r="P16"/>
  <c r="L16"/>
  <c r="H16"/>
  <c r="S15"/>
  <c r="U15" s="1"/>
  <c r="R15"/>
  <c r="P15"/>
  <c r="L15"/>
  <c r="H15"/>
  <c r="S14"/>
  <c r="R14"/>
  <c r="T14" s="1"/>
  <c r="P14"/>
  <c r="L14"/>
  <c r="H14"/>
  <c r="S13"/>
  <c r="R13"/>
  <c r="P13"/>
  <c r="L13"/>
  <c r="H13"/>
  <c r="H51" s="1"/>
  <c r="P12"/>
  <c r="L12"/>
  <c r="H12"/>
  <c r="Q11"/>
  <c r="O11"/>
  <c r="N11"/>
  <c r="M11"/>
  <c r="L11"/>
  <c r="K11"/>
  <c r="J11"/>
  <c r="I11"/>
  <c r="H11"/>
  <c r="G11"/>
  <c r="F11"/>
  <c r="P9"/>
  <c r="L9"/>
  <c r="H9"/>
  <c r="S8"/>
  <c r="N8"/>
  <c r="P8" s="1"/>
  <c r="L8"/>
  <c r="Q137" i="2"/>
  <c r="O137"/>
  <c r="N137"/>
  <c r="M137"/>
  <c r="K137"/>
  <c r="J137"/>
  <c r="I137"/>
  <c r="F137"/>
  <c r="F143" s="1"/>
  <c r="F145" s="1"/>
  <c r="S136"/>
  <c r="R136"/>
  <c r="T136" s="1"/>
  <c r="P136"/>
  <c r="L136"/>
  <c r="H136"/>
  <c r="S135"/>
  <c r="R135"/>
  <c r="P135"/>
  <c r="L135"/>
  <c r="H135"/>
  <c r="S134"/>
  <c r="R134"/>
  <c r="T134" s="1"/>
  <c r="P134"/>
  <c r="L134"/>
  <c r="H134"/>
  <c r="S131"/>
  <c r="U131" s="1"/>
  <c r="R131"/>
  <c r="P131"/>
  <c r="L131"/>
  <c r="H131"/>
  <c r="S130"/>
  <c r="R130"/>
  <c r="T130" s="1"/>
  <c r="P130"/>
  <c r="L130"/>
  <c r="H130"/>
  <c r="S129"/>
  <c r="U129" s="1"/>
  <c r="R129"/>
  <c r="P129"/>
  <c r="L129"/>
  <c r="H129"/>
  <c r="S126"/>
  <c r="R126"/>
  <c r="T126" s="1"/>
  <c r="P126"/>
  <c r="L126"/>
  <c r="H126"/>
  <c r="S125"/>
  <c r="U125" s="1"/>
  <c r="R125"/>
  <c r="P125"/>
  <c r="L125"/>
  <c r="H125"/>
  <c r="S124"/>
  <c r="R124"/>
  <c r="T124" s="1"/>
  <c r="P124"/>
  <c r="L124"/>
  <c r="H124"/>
  <c r="S121"/>
  <c r="U121" s="1"/>
  <c r="R121"/>
  <c r="P121"/>
  <c r="L121"/>
  <c r="H121"/>
  <c r="S120"/>
  <c r="R120"/>
  <c r="T120" s="1"/>
  <c r="P120"/>
  <c r="L120"/>
  <c r="H120"/>
  <c r="S119"/>
  <c r="U119" s="1"/>
  <c r="R119"/>
  <c r="P119"/>
  <c r="L119"/>
  <c r="H119"/>
  <c r="S118"/>
  <c r="R118"/>
  <c r="T118" s="1"/>
  <c r="P118"/>
  <c r="L118"/>
  <c r="H118"/>
  <c r="S115"/>
  <c r="U115" s="1"/>
  <c r="R115"/>
  <c r="P115"/>
  <c r="L115"/>
  <c r="H115"/>
  <c r="S114"/>
  <c r="R114"/>
  <c r="T114" s="1"/>
  <c r="P114"/>
  <c r="L114"/>
  <c r="H114"/>
  <c r="S113"/>
  <c r="U113" s="1"/>
  <c r="R113"/>
  <c r="P113"/>
  <c r="L113"/>
  <c r="H113"/>
  <c r="S112"/>
  <c r="R112"/>
  <c r="T112" s="1"/>
  <c r="P112"/>
  <c r="L112"/>
  <c r="H112"/>
  <c r="S111"/>
  <c r="U111" s="1"/>
  <c r="R111"/>
  <c r="P111"/>
  <c r="L111"/>
  <c r="H111"/>
  <c r="S110"/>
  <c r="R110"/>
  <c r="T110" s="1"/>
  <c r="P110"/>
  <c r="L110"/>
  <c r="H110"/>
  <c r="S109"/>
  <c r="R109"/>
  <c r="P109"/>
  <c r="P106" s="1"/>
  <c r="L109"/>
  <c r="H109"/>
  <c r="H106" s="1"/>
  <c r="S108"/>
  <c r="R108"/>
  <c r="T108" s="1"/>
  <c r="P108"/>
  <c r="L108"/>
  <c r="L137" s="1"/>
  <c r="H108"/>
  <c r="P107"/>
  <c r="L107"/>
  <c r="H107"/>
  <c r="Q106"/>
  <c r="O106"/>
  <c r="N106"/>
  <c r="M106"/>
  <c r="K106"/>
  <c r="J106"/>
  <c r="I106"/>
  <c r="G106"/>
  <c r="D26" i="12" s="1"/>
  <c r="F106" i="2"/>
  <c r="C26" i="12" s="1"/>
  <c r="Q104" i="2"/>
  <c r="O104"/>
  <c r="N104"/>
  <c r="M104"/>
  <c r="K104"/>
  <c r="J104"/>
  <c r="I104"/>
  <c r="G104"/>
  <c r="F104"/>
  <c r="S103"/>
  <c r="R103"/>
  <c r="P103"/>
  <c r="L103"/>
  <c r="H103"/>
  <c r="S102"/>
  <c r="R102"/>
  <c r="P102"/>
  <c r="L102"/>
  <c r="H102"/>
  <c r="S101"/>
  <c r="R101"/>
  <c r="P101"/>
  <c r="L101"/>
  <c r="H101"/>
  <c r="S98"/>
  <c r="R98"/>
  <c r="P98"/>
  <c r="L98"/>
  <c r="H98"/>
  <c r="S97"/>
  <c r="R97"/>
  <c r="P97"/>
  <c r="L97"/>
  <c r="H97"/>
  <c r="S96"/>
  <c r="R96"/>
  <c r="P96"/>
  <c r="L96"/>
  <c r="H96"/>
  <c r="S95"/>
  <c r="R95"/>
  <c r="P95"/>
  <c r="L95"/>
  <c r="H95"/>
  <c r="S94"/>
  <c r="R94"/>
  <c r="P94"/>
  <c r="L94"/>
  <c r="H94"/>
  <c r="S93"/>
  <c r="R93"/>
  <c r="P93"/>
  <c r="L93"/>
  <c r="H93"/>
  <c r="S92"/>
  <c r="R92"/>
  <c r="P92"/>
  <c r="L92"/>
  <c r="H92"/>
  <c r="S89"/>
  <c r="R89"/>
  <c r="P89"/>
  <c r="L89"/>
  <c r="H89"/>
  <c r="S88"/>
  <c r="R88"/>
  <c r="P88"/>
  <c r="L88"/>
  <c r="H88"/>
  <c r="S87"/>
  <c r="R87"/>
  <c r="P87"/>
  <c r="L87"/>
  <c r="H87"/>
  <c r="S86"/>
  <c r="R86"/>
  <c r="P86"/>
  <c r="P83" s="1"/>
  <c r="L86"/>
  <c r="H86"/>
  <c r="H83" s="1"/>
  <c r="S85"/>
  <c r="R85"/>
  <c r="R83" s="1"/>
  <c r="P85"/>
  <c r="L85"/>
  <c r="L83" s="1"/>
  <c r="H85"/>
  <c r="P84"/>
  <c r="L84"/>
  <c r="H84"/>
  <c r="Q83"/>
  <c r="O83"/>
  <c r="N83"/>
  <c r="M83"/>
  <c r="K83"/>
  <c r="J83"/>
  <c r="I83"/>
  <c r="G83"/>
  <c r="F83"/>
  <c r="Q81"/>
  <c r="O81"/>
  <c r="N81"/>
  <c r="M81"/>
  <c r="K81"/>
  <c r="J81"/>
  <c r="I81"/>
  <c r="G81"/>
  <c r="S80"/>
  <c r="R80"/>
  <c r="P80"/>
  <c r="L80"/>
  <c r="H80"/>
  <c r="S79"/>
  <c r="R79"/>
  <c r="P79"/>
  <c r="L79"/>
  <c r="H79"/>
  <c r="S78"/>
  <c r="R78"/>
  <c r="P78"/>
  <c r="L78"/>
  <c r="H78"/>
  <c r="S77"/>
  <c r="R77"/>
  <c r="P77"/>
  <c r="L77"/>
  <c r="H77"/>
  <c r="S76"/>
  <c r="R76"/>
  <c r="P76"/>
  <c r="L76"/>
  <c r="H76"/>
  <c r="S75"/>
  <c r="R75"/>
  <c r="P75"/>
  <c r="L75"/>
  <c r="H75"/>
  <c r="S72"/>
  <c r="R72"/>
  <c r="P72"/>
  <c r="L72"/>
  <c r="H72"/>
  <c r="S71"/>
  <c r="R71"/>
  <c r="P71"/>
  <c r="L71"/>
  <c r="H71"/>
  <c r="S70"/>
  <c r="R70"/>
  <c r="P70"/>
  <c r="L70"/>
  <c r="H70"/>
  <c r="S69"/>
  <c r="R69"/>
  <c r="P69"/>
  <c r="L69"/>
  <c r="H69"/>
  <c r="S68"/>
  <c r="R68"/>
  <c r="P68"/>
  <c r="L68"/>
  <c r="H68"/>
  <c r="S65"/>
  <c r="R65"/>
  <c r="P65"/>
  <c r="L65"/>
  <c r="H65"/>
  <c r="S64"/>
  <c r="R64"/>
  <c r="P64"/>
  <c r="L64"/>
  <c r="H64"/>
  <c r="S63"/>
  <c r="P63"/>
  <c r="L63"/>
  <c r="F63"/>
  <c r="H63" s="1"/>
  <c r="S62"/>
  <c r="R62"/>
  <c r="P62"/>
  <c r="L62"/>
  <c r="H62"/>
  <c r="S59"/>
  <c r="R59"/>
  <c r="P59"/>
  <c r="L59"/>
  <c r="H59"/>
  <c r="S58"/>
  <c r="R58"/>
  <c r="P58"/>
  <c r="L58"/>
  <c r="H58"/>
  <c r="S57"/>
  <c r="R57"/>
  <c r="P57"/>
  <c r="L57"/>
  <c r="H57"/>
  <c r="S56"/>
  <c r="R56"/>
  <c r="P56"/>
  <c r="L56"/>
  <c r="H56"/>
  <c r="S55"/>
  <c r="P55"/>
  <c r="L55"/>
  <c r="F55"/>
  <c r="P54"/>
  <c r="L54"/>
  <c r="H54"/>
  <c r="Q53"/>
  <c r="O53"/>
  <c r="N53"/>
  <c r="M53"/>
  <c r="K53"/>
  <c r="J53"/>
  <c r="I53"/>
  <c r="G53"/>
  <c r="Q51"/>
  <c r="M51"/>
  <c r="I51"/>
  <c r="F51"/>
  <c r="S50"/>
  <c r="R50"/>
  <c r="P50"/>
  <c r="L50"/>
  <c r="H50"/>
  <c r="S49"/>
  <c r="R49"/>
  <c r="P49"/>
  <c r="L49"/>
  <c r="H49"/>
  <c r="S46"/>
  <c r="R46"/>
  <c r="P46"/>
  <c r="L46"/>
  <c r="H46"/>
  <c r="O45"/>
  <c r="N45"/>
  <c r="L45"/>
  <c r="H45"/>
  <c r="S44"/>
  <c r="U44" s="1"/>
  <c r="R44"/>
  <c r="P44"/>
  <c r="L44"/>
  <c r="H44"/>
  <c r="G44"/>
  <c r="G51" s="1"/>
  <c r="S43"/>
  <c r="R43"/>
  <c r="P43"/>
  <c r="L43"/>
  <c r="H43"/>
  <c r="S42"/>
  <c r="R42"/>
  <c r="P42"/>
  <c r="L42"/>
  <c r="H42"/>
  <c r="K41"/>
  <c r="J41"/>
  <c r="H41"/>
  <c r="S40"/>
  <c r="R40"/>
  <c r="P40"/>
  <c r="L40"/>
  <c r="H40"/>
  <c r="S39"/>
  <c r="R39"/>
  <c r="P39"/>
  <c r="L39"/>
  <c r="H39"/>
  <c r="S38"/>
  <c r="R38"/>
  <c r="T38" s="1"/>
  <c r="P38"/>
  <c r="L38"/>
  <c r="H38"/>
  <c r="S37"/>
  <c r="R37"/>
  <c r="P37"/>
  <c r="L37"/>
  <c r="H37"/>
  <c r="S36"/>
  <c r="R36"/>
  <c r="P36"/>
  <c r="L36"/>
  <c r="H36"/>
  <c r="S35"/>
  <c r="R35"/>
  <c r="P35"/>
  <c r="L35"/>
  <c r="H35"/>
  <c r="S32"/>
  <c r="R32"/>
  <c r="T32" s="1"/>
  <c r="P32"/>
  <c r="L32"/>
  <c r="H32"/>
  <c r="S31"/>
  <c r="R31"/>
  <c r="P31"/>
  <c r="L31"/>
  <c r="H31"/>
  <c r="S30"/>
  <c r="R30"/>
  <c r="P30"/>
  <c r="L30"/>
  <c r="H30"/>
  <c r="S29"/>
  <c r="R29"/>
  <c r="P29"/>
  <c r="L29"/>
  <c r="H29"/>
  <c r="S26"/>
  <c r="R26"/>
  <c r="T26" s="1"/>
  <c r="P26"/>
  <c r="L26"/>
  <c r="H26"/>
  <c r="S25"/>
  <c r="R25"/>
  <c r="P25"/>
  <c r="L25"/>
  <c r="H25"/>
  <c r="S24"/>
  <c r="R24"/>
  <c r="P24"/>
  <c r="L24"/>
  <c r="H24"/>
  <c r="S21"/>
  <c r="R21"/>
  <c r="P21"/>
  <c r="L21"/>
  <c r="H21"/>
  <c r="S20"/>
  <c r="R20"/>
  <c r="T20" s="1"/>
  <c r="P20"/>
  <c r="L20"/>
  <c r="H20"/>
  <c r="S17"/>
  <c r="R17"/>
  <c r="P17"/>
  <c r="L17"/>
  <c r="H17"/>
  <c r="S16"/>
  <c r="R16"/>
  <c r="P16"/>
  <c r="L16"/>
  <c r="H16"/>
  <c r="S15"/>
  <c r="R15"/>
  <c r="P15"/>
  <c r="L15"/>
  <c r="H15"/>
  <c r="S14"/>
  <c r="R14"/>
  <c r="T14" s="1"/>
  <c r="P14"/>
  <c r="L14"/>
  <c r="H14"/>
  <c r="S13"/>
  <c r="R13"/>
  <c r="P13"/>
  <c r="L13"/>
  <c r="H13"/>
  <c r="P12"/>
  <c r="L12"/>
  <c r="H12"/>
  <c r="Q11"/>
  <c r="N11"/>
  <c r="M11"/>
  <c r="K11"/>
  <c r="I11"/>
  <c r="G11"/>
  <c r="F11"/>
  <c r="P9"/>
  <c r="L9"/>
  <c r="H9"/>
  <c r="P8"/>
  <c r="N8"/>
  <c r="L8"/>
  <c r="G8"/>
  <c r="G8" i="7" s="1"/>
  <c r="F8" i="2"/>
  <c r="R8" s="1"/>
  <c r="H107" i="6"/>
  <c r="G105"/>
  <c r="F105"/>
  <c r="G104"/>
  <c r="G82"/>
  <c r="F82"/>
  <c r="G53"/>
  <c r="H54"/>
  <c r="G52"/>
  <c r="F52"/>
  <c r="M137" i="7"/>
  <c r="I137"/>
  <c r="I143" s="1"/>
  <c r="O136"/>
  <c r="O135"/>
  <c r="N135"/>
  <c r="O134"/>
  <c r="O131"/>
  <c r="O130"/>
  <c r="O129"/>
  <c r="O126"/>
  <c r="O125"/>
  <c r="O124"/>
  <c r="O121"/>
  <c r="O120"/>
  <c r="O119"/>
  <c r="O118"/>
  <c r="O115"/>
  <c r="O114"/>
  <c r="O113"/>
  <c r="O112"/>
  <c r="O111"/>
  <c r="O110"/>
  <c r="L109"/>
  <c r="O109"/>
  <c r="K137"/>
  <c r="L107"/>
  <c r="M106"/>
  <c r="M104"/>
  <c r="L103"/>
  <c r="O103"/>
  <c r="L102"/>
  <c r="N102"/>
  <c r="L101"/>
  <c r="O101"/>
  <c r="L98"/>
  <c r="O98"/>
  <c r="N98"/>
  <c r="L97"/>
  <c r="O97"/>
  <c r="L96"/>
  <c r="O95"/>
  <c r="N94"/>
  <c r="O93"/>
  <c r="O92"/>
  <c r="N92"/>
  <c r="O89"/>
  <c r="O88"/>
  <c r="O87"/>
  <c r="O86"/>
  <c r="N86"/>
  <c r="L84"/>
  <c r="M83"/>
  <c r="M81"/>
  <c r="L80"/>
  <c r="O80"/>
  <c r="L79"/>
  <c r="O79"/>
  <c r="L78"/>
  <c r="O78"/>
  <c r="L77"/>
  <c r="O77"/>
  <c r="L76"/>
  <c r="O76"/>
  <c r="L75"/>
  <c r="O75"/>
  <c r="L72"/>
  <c r="O72"/>
  <c r="L71"/>
  <c r="O71"/>
  <c r="L70"/>
  <c r="O70"/>
  <c r="L69"/>
  <c r="O69"/>
  <c r="L68"/>
  <c r="O68"/>
  <c r="L65"/>
  <c r="O65"/>
  <c r="L64"/>
  <c r="O64"/>
  <c r="O63"/>
  <c r="O62"/>
  <c r="O59"/>
  <c r="O58"/>
  <c r="O57"/>
  <c r="O56"/>
  <c r="L54"/>
  <c r="M53"/>
  <c r="M51"/>
  <c r="M139" s="1"/>
  <c r="O50"/>
  <c r="N50"/>
  <c r="O49"/>
  <c r="O46"/>
  <c r="N46"/>
  <c r="O45"/>
  <c r="N45"/>
  <c r="L43"/>
  <c r="O43"/>
  <c r="N43"/>
  <c r="O42"/>
  <c r="O40"/>
  <c r="L39"/>
  <c r="O38"/>
  <c r="O37"/>
  <c r="O36"/>
  <c r="O35"/>
  <c r="O32"/>
  <c r="O31"/>
  <c r="O30"/>
  <c r="O29"/>
  <c r="O26"/>
  <c r="O25"/>
  <c r="O24"/>
  <c r="O21"/>
  <c r="O20"/>
  <c r="L16"/>
  <c r="L14"/>
  <c r="L12"/>
  <c r="M11"/>
  <c r="L9"/>
  <c r="P136" i="6"/>
  <c r="P134"/>
  <c r="P131"/>
  <c r="P130"/>
  <c r="P126"/>
  <c r="P125"/>
  <c r="P124"/>
  <c r="P120"/>
  <c r="P119"/>
  <c r="P118"/>
  <c r="P114"/>
  <c r="P113"/>
  <c r="P112"/>
  <c r="P110"/>
  <c r="P109"/>
  <c r="P108"/>
  <c r="P103"/>
  <c r="P102"/>
  <c r="P101"/>
  <c r="P97"/>
  <c r="P96"/>
  <c r="P95"/>
  <c r="P94"/>
  <c r="P93"/>
  <c r="P89"/>
  <c r="P87"/>
  <c r="P80"/>
  <c r="P78"/>
  <c r="P76"/>
  <c r="P72"/>
  <c r="P70"/>
  <c r="P68"/>
  <c r="P64"/>
  <c r="P63"/>
  <c r="P62"/>
  <c r="P58"/>
  <c r="P56"/>
  <c r="P49"/>
  <c r="P42"/>
  <c r="P37"/>
  <c r="P35"/>
  <c r="P31"/>
  <c r="P29"/>
  <c r="S136"/>
  <c r="L131"/>
  <c r="S130"/>
  <c r="L125"/>
  <c r="S124"/>
  <c r="L119"/>
  <c r="S118"/>
  <c r="L113"/>
  <c r="S112"/>
  <c r="L109"/>
  <c r="S108"/>
  <c r="L102"/>
  <c r="S101"/>
  <c r="L96"/>
  <c r="L94"/>
  <c r="S93"/>
  <c r="L92"/>
  <c r="S89"/>
  <c r="L88"/>
  <c r="S87"/>
  <c r="L86"/>
  <c r="S80"/>
  <c r="L79"/>
  <c r="S78"/>
  <c r="L77"/>
  <c r="S76"/>
  <c r="L75"/>
  <c r="S72"/>
  <c r="L71"/>
  <c r="S70"/>
  <c r="L69"/>
  <c r="S68"/>
  <c r="L65"/>
  <c r="S64"/>
  <c r="L59"/>
  <c r="L57"/>
  <c r="L50"/>
  <c r="L46"/>
  <c r="L45"/>
  <c r="L44"/>
  <c r="L43"/>
  <c r="S42"/>
  <c r="L40"/>
  <c r="L39"/>
  <c r="L38"/>
  <c r="S37"/>
  <c r="L36"/>
  <c r="S35"/>
  <c r="L32"/>
  <c r="S31"/>
  <c r="L30"/>
  <c r="S29"/>
  <c r="L26"/>
  <c r="S25"/>
  <c r="Q137"/>
  <c r="M137"/>
  <c r="I137"/>
  <c r="L136"/>
  <c r="P135"/>
  <c r="R134"/>
  <c r="S131"/>
  <c r="H131"/>
  <c r="L130"/>
  <c r="P129"/>
  <c r="R126"/>
  <c r="S125"/>
  <c r="H125"/>
  <c r="L124"/>
  <c r="P121"/>
  <c r="R120"/>
  <c r="S119"/>
  <c r="H119"/>
  <c r="L118"/>
  <c r="P115"/>
  <c r="R114"/>
  <c r="S113"/>
  <c r="H113"/>
  <c r="L112"/>
  <c r="P111"/>
  <c r="R110"/>
  <c r="S109"/>
  <c r="H109"/>
  <c r="L108"/>
  <c r="P107"/>
  <c r="L107"/>
  <c r="Q106"/>
  <c r="M106"/>
  <c r="I106"/>
  <c r="Q104"/>
  <c r="M104"/>
  <c r="I104"/>
  <c r="R103"/>
  <c r="S102"/>
  <c r="H102"/>
  <c r="L101"/>
  <c r="P98"/>
  <c r="R97"/>
  <c r="R96"/>
  <c r="R95"/>
  <c r="S94"/>
  <c r="H94"/>
  <c r="R93"/>
  <c r="L93"/>
  <c r="S92"/>
  <c r="P92"/>
  <c r="H92"/>
  <c r="R89"/>
  <c r="L89"/>
  <c r="S88"/>
  <c r="P88"/>
  <c r="H88"/>
  <c r="R87"/>
  <c r="L87"/>
  <c r="S86"/>
  <c r="P86"/>
  <c r="H86"/>
  <c r="R85"/>
  <c r="L85"/>
  <c r="P84"/>
  <c r="L84"/>
  <c r="H84"/>
  <c r="Q83"/>
  <c r="M83"/>
  <c r="I83"/>
  <c r="Q81"/>
  <c r="M81"/>
  <c r="I81"/>
  <c r="L80"/>
  <c r="P79"/>
  <c r="R78"/>
  <c r="L78"/>
  <c r="P77"/>
  <c r="L76"/>
  <c r="P75"/>
  <c r="L72"/>
  <c r="P71"/>
  <c r="L70"/>
  <c r="P69"/>
  <c r="L68"/>
  <c r="P65"/>
  <c r="L64"/>
  <c r="L63"/>
  <c r="L62"/>
  <c r="P59"/>
  <c r="R58"/>
  <c r="L58"/>
  <c r="P57"/>
  <c r="L56"/>
  <c r="L55"/>
  <c r="P54"/>
  <c r="L54"/>
  <c r="Q53"/>
  <c r="M53"/>
  <c r="I53"/>
  <c r="Q51"/>
  <c r="M51"/>
  <c r="I51"/>
  <c r="S50"/>
  <c r="P50"/>
  <c r="L49"/>
  <c r="P46"/>
  <c r="P44"/>
  <c r="P43"/>
  <c r="L42"/>
  <c r="P41"/>
  <c r="P40"/>
  <c r="P39"/>
  <c r="S38"/>
  <c r="P38"/>
  <c r="L37"/>
  <c r="S36"/>
  <c r="P36"/>
  <c r="L35"/>
  <c r="S32"/>
  <c r="P32"/>
  <c r="L31"/>
  <c r="S30"/>
  <c r="P30"/>
  <c r="L29"/>
  <c r="S26"/>
  <c r="P26"/>
  <c r="P25"/>
  <c r="L25"/>
  <c r="P24"/>
  <c r="L24"/>
  <c r="P21"/>
  <c r="L21"/>
  <c r="S20"/>
  <c r="P20"/>
  <c r="L20"/>
  <c r="S17"/>
  <c r="P17"/>
  <c r="L17"/>
  <c r="P16"/>
  <c r="L16"/>
  <c r="P15"/>
  <c r="L15"/>
  <c r="P14"/>
  <c r="L14"/>
  <c r="S13"/>
  <c r="P13"/>
  <c r="L13"/>
  <c r="P12"/>
  <c r="L12"/>
  <c r="H12"/>
  <c r="Q11"/>
  <c r="M11"/>
  <c r="I11"/>
  <c r="P9"/>
  <c r="L9"/>
  <c r="H9"/>
  <c r="L8"/>
  <c r="R91" i="12" l="1"/>
  <c r="Q91"/>
  <c r="P15" i="11"/>
  <c r="P17" s="1"/>
  <c r="D17"/>
  <c r="C17"/>
  <c r="O15"/>
  <c r="E15"/>
  <c r="E16" s="1"/>
  <c r="R98" i="12"/>
  <c r="Q98"/>
  <c r="E103"/>
  <c r="O103"/>
  <c r="R79"/>
  <c r="Q79"/>
  <c r="P14"/>
  <c r="E14"/>
  <c r="D19"/>
  <c r="G117" i="6"/>
  <c r="G117" i="7"/>
  <c r="G137" i="2"/>
  <c r="G143" s="1"/>
  <c r="G145" s="1"/>
  <c r="H145" s="1"/>
  <c r="H43" i="12"/>
  <c r="H11" i="11" s="1"/>
  <c r="H12" s="1"/>
  <c r="H29" s="1"/>
  <c r="H50" i="12"/>
  <c r="H55" s="1"/>
  <c r="H201" s="1"/>
  <c r="G43"/>
  <c r="I38"/>
  <c r="G50"/>
  <c r="M38"/>
  <c r="K50"/>
  <c r="K43"/>
  <c r="P26"/>
  <c r="D31"/>
  <c r="E26"/>
  <c r="O26"/>
  <c r="C31"/>
  <c r="T51" i="8"/>
  <c r="T143" s="1"/>
  <c r="H40" i="6"/>
  <c r="H49"/>
  <c r="H57"/>
  <c r="I143"/>
  <c r="Q143"/>
  <c r="M143"/>
  <c r="S143" i="10"/>
  <c r="U143" s="1"/>
  <c r="L51" i="3"/>
  <c r="T13"/>
  <c r="U14"/>
  <c r="T15"/>
  <c r="U16"/>
  <c r="T17"/>
  <c r="U20"/>
  <c r="T21"/>
  <c r="U24"/>
  <c r="T25"/>
  <c r="U26"/>
  <c r="T29"/>
  <c r="U30"/>
  <c r="T31"/>
  <c r="U32"/>
  <c r="T35"/>
  <c r="U36"/>
  <c r="T37"/>
  <c r="U38"/>
  <c r="T39"/>
  <c r="U40"/>
  <c r="T41"/>
  <c r="U42"/>
  <c r="T43"/>
  <c r="U44"/>
  <c r="T46"/>
  <c r="U49"/>
  <c r="T50"/>
  <c r="L53"/>
  <c r="S53"/>
  <c r="P81"/>
  <c r="U56"/>
  <c r="T57"/>
  <c r="U58"/>
  <c r="T59"/>
  <c r="U62"/>
  <c r="T63"/>
  <c r="U64"/>
  <c r="T65"/>
  <c r="U68"/>
  <c r="T69"/>
  <c r="U70"/>
  <c r="T71"/>
  <c r="U72"/>
  <c r="T75"/>
  <c r="U76"/>
  <c r="T77"/>
  <c r="U78"/>
  <c r="T79"/>
  <c r="U80"/>
  <c r="S83"/>
  <c r="U83" s="1"/>
  <c r="H104"/>
  <c r="P104"/>
  <c r="S104"/>
  <c r="T86"/>
  <c r="U87"/>
  <c r="T88"/>
  <c r="U89"/>
  <c r="T92"/>
  <c r="U93"/>
  <c r="T94"/>
  <c r="U95"/>
  <c r="T96"/>
  <c r="U97"/>
  <c r="T98"/>
  <c r="U101"/>
  <c r="T102"/>
  <c r="U103"/>
  <c r="H106"/>
  <c r="P106"/>
  <c r="R106"/>
  <c r="U106" s="1"/>
  <c r="L137"/>
  <c r="R137"/>
  <c r="U109"/>
  <c r="T110"/>
  <c r="U111"/>
  <c r="T112"/>
  <c r="U113"/>
  <c r="T114"/>
  <c r="U115"/>
  <c r="T118"/>
  <c r="U119"/>
  <c r="T120"/>
  <c r="U121"/>
  <c r="T124"/>
  <c r="U125"/>
  <c r="T126"/>
  <c r="U129"/>
  <c r="T130"/>
  <c r="U131"/>
  <c r="T134"/>
  <c r="U135"/>
  <c r="T136"/>
  <c r="F51" i="6"/>
  <c r="G81"/>
  <c r="S104" i="2"/>
  <c r="T86"/>
  <c r="T92"/>
  <c r="T96"/>
  <c r="T102"/>
  <c r="T15"/>
  <c r="U16"/>
  <c r="T21"/>
  <c r="U24"/>
  <c r="T29"/>
  <c r="U30"/>
  <c r="T35"/>
  <c r="U36"/>
  <c r="T39"/>
  <c r="U40"/>
  <c r="T43"/>
  <c r="U46"/>
  <c r="T49"/>
  <c r="U50"/>
  <c r="T57"/>
  <c r="U58"/>
  <c r="T59"/>
  <c r="U62"/>
  <c r="U64"/>
  <c r="U68"/>
  <c r="U70"/>
  <c r="U72"/>
  <c r="U76"/>
  <c r="U78"/>
  <c r="U80"/>
  <c r="T87"/>
  <c r="U88"/>
  <c r="T93"/>
  <c r="U94"/>
  <c r="T97"/>
  <c r="U98"/>
  <c r="T103"/>
  <c r="L106"/>
  <c r="U136"/>
  <c r="K41" i="7"/>
  <c r="O41" s="1"/>
  <c r="F81" i="2"/>
  <c r="F55" i="7"/>
  <c r="U14" i="2"/>
  <c r="U20"/>
  <c r="U26"/>
  <c r="U32"/>
  <c r="U38"/>
  <c r="U43"/>
  <c r="H11"/>
  <c r="K51"/>
  <c r="P53"/>
  <c r="U86"/>
  <c r="U92"/>
  <c r="U96"/>
  <c r="U102"/>
  <c r="U135"/>
  <c r="R137"/>
  <c r="R143" s="1"/>
  <c r="U143" s="1"/>
  <c r="J41" i="7"/>
  <c r="N41" s="1"/>
  <c r="N51" i="2"/>
  <c r="R63"/>
  <c r="T63" s="1"/>
  <c r="F63" i="7"/>
  <c r="H63" s="1"/>
  <c r="T16" i="2"/>
  <c r="T17"/>
  <c r="T24"/>
  <c r="T25"/>
  <c r="T30"/>
  <c r="T31"/>
  <c r="T36"/>
  <c r="T37"/>
  <c r="T40"/>
  <c r="S41"/>
  <c r="S11" s="1"/>
  <c r="T42"/>
  <c r="R45"/>
  <c r="U49"/>
  <c r="L53"/>
  <c r="U57"/>
  <c r="U59"/>
  <c r="T64"/>
  <c r="U65"/>
  <c r="T68"/>
  <c r="U69"/>
  <c r="T70"/>
  <c r="U71"/>
  <c r="T72"/>
  <c r="U75"/>
  <c r="T76"/>
  <c r="U77"/>
  <c r="T78"/>
  <c r="U79"/>
  <c r="T80"/>
  <c r="L81"/>
  <c r="L104"/>
  <c r="R104"/>
  <c r="H104"/>
  <c r="P104"/>
  <c r="S83"/>
  <c r="T88"/>
  <c r="T89"/>
  <c r="T94"/>
  <c r="T95"/>
  <c r="T98"/>
  <c r="T101"/>
  <c r="R106"/>
  <c r="U110"/>
  <c r="U112"/>
  <c r="U114"/>
  <c r="U118"/>
  <c r="U120"/>
  <c r="U124"/>
  <c r="U126"/>
  <c r="U130"/>
  <c r="U134"/>
  <c r="O143" i="6"/>
  <c r="G51" i="1"/>
  <c r="G145" s="1"/>
  <c r="G39" i="7"/>
  <c r="S44" i="1"/>
  <c r="U44" s="1"/>
  <c r="G44" i="7"/>
  <c r="H44" s="1"/>
  <c r="R8" i="1"/>
  <c r="U8" s="1"/>
  <c r="F8" i="7"/>
  <c r="U137" i="1"/>
  <c r="H76" i="6"/>
  <c r="G11" i="1"/>
  <c r="L51"/>
  <c r="R51"/>
  <c r="U14"/>
  <c r="T15"/>
  <c r="U16"/>
  <c r="T17"/>
  <c r="U20"/>
  <c r="T21"/>
  <c r="U24"/>
  <c r="T25"/>
  <c r="U26"/>
  <c r="T29"/>
  <c r="U30"/>
  <c r="T31"/>
  <c r="U32"/>
  <c r="T35"/>
  <c r="U36"/>
  <c r="T37"/>
  <c r="U38"/>
  <c r="T40"/>
  <c r="U41"/>
  <c r="T42"/>
  <c r="U43"/>
  <c r="T45"/>
  <c r="U46"/>
  <c r="T49"/>
  <c r="U50"/>
  <c r="I143"/>
  <c r="Q143"/>
  <c r="S53"/>
  <c r="U53" s="1"/>
  <c r="H81"/>
  <c r="P81"/>
  <c r="S81"/>
  <c r="T56"/>
  <c r="T81" s="1"/>
  <c r="U57"/>
  <c r="T58"/>
  <c r="U59"/>
  <c r="T62"/>
  <c r="U63"/>
  <c r="T64"/>
  <c r="U65"/>
  <c r="T68"/>
  <c r="U69"/>
  <c r="T70"/>
  <c r="U71"/>
  <c r="T72"/>
  <c r="U75"/>
  <c r="T76"/>
  <c r="U77"/>
  <c r="T78"/>
  <c r="U79"/>
  <c r="T80"/>
  <c r="S83"/>
  <c r="U83" s="1"/>
  <c r="H104"/>
  <c r="P104"/>
  <c r="S104"/>
  <c r="U104" s="1"/>
  <c r="T86"/>
  <c r="U87"/>
  <c r="T88"/>
  <c r="U89"/>
  <c r="T92"/>
  <c r="U93"/>
  <c r="T94"/>
  <c r="U95"/>
  <c r="T96"/>
  <c r="U97"/>
  <c r="T98"/>
  <c r="U101"/>
  <c r="T102"/>
  <c r="U103"/>
  <c r="H106"/>
  <c r="P106"/>
  <c r="R106"/>
  <c r="U106" s="1"/>
  <c r="L137"/>
  <c r="R137"/>
  <c r="U109"/>
  <c r="T110"/>
  <c r="U111"/>
  <c r="T112"/>
  <c r="U113"/>
  <c r="T114"/>
  <c r="U115"/>
  <c r="T118"/>
  <c r="U119"/>
  <c r="T120"/>
  <c r="U121"/>
  <c r="T124"/>
  <c r="U125"/>
  <c r="T126"/>
  <c r="U129"/>
  <c r="T130"/>
  <c r="U131"/>
  <c r="T134"/>
  <c r="U135"/>
  <c r="T136"/>
  <c r="H13" i="6"/>
  <c r="H15"/>
  <c r="H17"/>
  <c r="H21"/>
  <c r="H25"/>
  <c r="H45"/>
  <c r="H58"/>
  <c r="H64"/>
  <c r="H70"/>
  <c r="S15"/>
  <c r="U15" s="1"/>
  <c r="S21"/>
  <c r="U21" s="1"/>
  <c r="H106" i="7"/>
  <c r="H43" i="6"/>
  <c r="L81"/>
  <c r="H65"/>
  <c r="H71"/>
  <c r="H77"/>
  <c r="S58"/>
  <c r="U58" s="1"/>
  <c r="H20"/>
  <c r="H24"/>
  <c r="H41"/>
  <c r="H46"/>
  <c r="H50"/>
  <c r="H56"/>
  <c r="H59"/>
  <c r="H62"/>
  <c r="H68"/>
  <c r="H69"/>
  <c r="H72"/>
  <c r="H75"/>
  <c r="H78"/>
  <c r="H79"/>
  <c r="F11"/>
  <c r="R13"/>
  <c r="T13" s="1"/>
  <c r="H29"/>
  <c r="H31"/>
  <c r="H35"/>
  <c r="H37"/>
  <c r="H42"/>
  <c r="R56"/>
  <c r="T56" s="1"/>
  <c r="R62"/>
  <c r="U62" s="1"/>
  <c r="H104" i="7"/>
  <c r="H83"/>
  <c r="H80" i="6"/>
  <c r="H110"/>
  <c r="H114"/>
  <c r="H120"/>
  <c r="H85"/>
  <c r="H126"/>
  <c r="H134"/>
  <c r="T8" i="1"/>
  <c r="T53"/>
  <c r="L110" i="7"/>
  <c r="L111"/>
  <c r="L112"/>
  <c r="L113"/>
  <c r="L114"/>
  <c r="L115"/>
  <c r="L118"/>
  <c r="L119"/>
  <c r="H87" i="6"/>
  <c r="H103"/>
  <c r="G83"/>
  <c r="H8" i="1"/>
  <c r="P11"/>
  <c r="T13"/>
  <c r="H39"/>
  <c r="S39"/>
  <c r="T39" s="1"/>
  <c r="H44"/>
  <c r="U55"/>
  <c r="R81"/>
  <c r="T85"/>
  <c r="T108"/>
  <c r="F145"/>
  <c r="H145" s="1"/>
  <c r="F83" i="6"/>
  <c r="F104"/>
  <c r="U85" i="1"/>
  <c r="U108"/>
  <c r="L120" i="7"/>
  <c r="L121"/>
  <c r="L124"/>
  <c r="L125"/>
  <c r="H89" i="6"/>
  <c r="H93"/>
  <c r="H95"/>
  <c r="H97"/>
  <c r="T55" i="3"/>
  <c r="R81"/>
  <c r="U81" s="1"/>
  <c r="R53"/>
  <c r="U53"/>
  <c r="U104"/>
  <c r="R11"/>
  <c r="R26" i="6"/>
  <c r="T26" s="1"/>
  <c r="R30"/>
  <c r="T30" s="1"/>
  <c r="R32"/>
  <c r="U32" s="1"/>
  <c r="R36"/>
  <c r="T36" s="1"/>
  <c r="R38"/>
  <c r="T38" s="1"/>
  <c r="R39"/>
  <c r="R40"/>
  <c r="T40" s="1"/>
  <c r="R43"/>
  <c r="U43" s="1"/>
  <c r="R44"/>
  <c r="R46"/>
  <c r="T46" s="1"/>
  <c r="R50"/>
  <c r="U50" s="1"/>
  <c r="H8" i="3"/>
  <c r="R8"/>
  <c r="U13"/>
  <c r="P45"/>
  <c r="P11" s="1"/>
  <c r="S45"/>
  <c r="T45" s="1"/>
  <c r="N51"/>
  <c r="R51"/>
  <c r="H55"/>
  <c r="U55"/>
  <c r="F81"/>
  <c r="T85"/>
  <c r="T108"/>
  <c r="L126" i="7"/>
  <c r="L129"/>
  <c r="U8" i="3"/>
  <c r="U85"/>
  <c r="U108"/>
  <c r="S85" i="6"/>
  <c r="T85" s="1"/>
  <c r="S95"/>
  <c r="U95" s="1"/>
  <c r="L95"/>
  <c r="S97"/>
  <c r="T97" s="1"/>
  <c r="L97"/>
  <c r="L98"/>
  <c r="S98"/>
  <c r="S103"/>
  <c r="T103" s="1"/>
  <c r="L103"/>
  <c r="S110"/>
  <c r="L110"/>
  <c r="L111"/>
  <c r="S111"/>
  <c r="S114"/>
  <c r="U114" s="1"/>
  <c r="L114"/>
  <c r="L115"/>
  <c r="S115"/>
  <c r="S120"/>
  <c r="U120" s="1"/>
  <c r="L120"/>
  <c r="L121"/>
  <c r="S121"/>
  <c r="S126"/>
  <c r="U126" s="1"/>
  <c r="L126"/>
  <c r="L129"/>
  <c r="S129"/>
  <c r="S134"/>
  <c r="U134" s="1"/>
  <c r="L134"/>
  <c r="L135"/>
  <c r="S135"/>
  <c r="P55"/>
  <c r="P81" s="1"/>
  <c r="P85"/>
  <c r="P104" s="1"/>
  <c r="L63" i="7"/>
  <c r="R98" i="6"/>
  <c r="T98" s="1"/>
  <c r="H98"/>
  <c r="H101"/>
  <c r="R101"/>
  <c r="T101" s="1"/>
  <c r="H108"/>
  <c r="R108"/>
  <c r="T108" s="1"/>
  <c r="R111"/>
  <c r="T111" s="1"/>
  <c r="H111"/>
  <c r="H112"/>
  <c r="R112"/>
  <c r="U112" s="1"/>
  <c r="R115"/>
  <c r="T115" s="1"/>
  <c r="H115"/>
  <c r="H118"/>
  <c r="R118"/>
  <c r="U118" s="1"/>
  <c r="R121"/>
  <c r="T121" s="1"/>
  <c r="H121"/>
  <c r="H124"/>
  <c r="R124"/>
  <c r="U124" s="1"/>
  <c r="R129"/>
  <c r="T129" s="1"/>
  <c r="H129"/>
  <c r="H130"/>
  <c r="R130"/>
  <c r="U130" s="1"/>
  <c r="R135"/>
  <c r="T135" s="1"/>
  <c r="H135"/>
  <c r="H136"/>
  <c r="R136"/>
  <c r="T136" s="1"/>
  <c r="R57"/>
  <c r="T57" s="1"/>
  <c r="R59"/>
  <c r="T59" s="1"/>
  <c r="R65"/>
  <c r="U65" s="1"/>
  <c r="R69"/>
  <c r="T69" s="1"/>
  <c r="R71"/>
  <c r="T71" s="1"/>
  <c r="R75"/>
  <c r="T75" s="1"/>
  <c r="R77"/>
  <c r="U77" s="1"/>
  <c r="R79"/>
  <c r="T79" s="1"/>
  <c r="R86"/>
  <c r="U86" s="1"/>
  <c r="R88"/>
  <c r="R92"/>
  <c r="T92" s="1"/>
  <c r="R94"/>
  <c r="T94" s="1"/>
  <c r="R102"/>
  <c r="T102" s="1"/>
  <c r="R109"/>
  <c r="T109" s="1"/>
  <c r="R113"/>
  <c r="T113" s="1"/>
  <c r="R119"/>
  <c r="U119" s="1"/>
  <c r="R125"/>
  <c r="T125" s="1"/>
  <c r="R131"/>
  <c r="T131" s="1"/>
  <c r="O15" i="7"/>
  <c r="O17"/>
  <c r="S8" i="2"/>
  <c r="S81"/>
  <c r="U63"/>
  <c r="P81"/>
  <c r="T85"/>
  <c r="S137"/>
  <c r="U137" s="1"/>
  <c r="J137" i="7"/>
  <c r="J51" i="2"/>
  <c r="R41"/>
  <c r="R51" s="1"/>
  <c r="J11"/>
  <c r="H55"/>
  <c r="F53"/>
  <c r="R55"/>
  <c r="U55" s="1"/>
  <c r="U56"/>
  <c r="S53"/>
  <c r="S106"/>
  <c r="U109"/>
  <c r="T13"/>
  <c r="L41"/>
  <c r="L51" s="1"/>
  <c r="H137"/>
  <c r="H143" s="1"/>
  <c r="P137"/>
  <c r="S45"/>
  <c r="U45" s="1"/>
  <c r="O11"/>
  <c r="T8"/>
  <c r="H51"/>
  <c r="U13"/>
  <c r="U15"/>
  <c r="U17"/>
  <c r="U21"/>
  <c r="U25"/>
  <c r="U29"/>
  <c r="U31"/>
  <c r="U35"/>
  <c r="U37"/>
  <c r="U39"/>
  <c r="U42"/>
  <c r="T44"/>
  <c r="T46"/>
  <c r="T50"/>
  <c r="O51"/>
  <c r="S51"/>
  <c r="T56"/>
  <c r="T58"/>
  <c r="T62"/>
  <c r="T65"/>
  <c r="T69"/>
  <c r="T71"/>
  <c r="T75"/>
  <c r="T77"/>
  <c r="T79"/>
  <c r="U104"/>
  <c r="U83"/>
  <c r="U87"/>
  <c r="U89"/>
  <c r="U93"/>
  <c r="U95"/>
  <c r="U97"/>
  <c r="U101"/>
  <c r="U103"/>
  <c r="T109"/>
  <c r="T111"/>
  <c r="T113"/>
  <c r="T115"/>
  <c r="T119"/>
  <c r="T121"/>
  <c r="T125"/>
  <c r="T129"/>
  <c r="T131"/>
  <c r="T135"/>
  <c r="L15" i="7"/>
  <c r="L17"/>
  <c r="L20"/>
  <c r="L21"/>
  <c r="L24"/>
  <c r="L25"/>
  <c r="L26"/>
  <c r="L29"/>
  <c r="L30"/>
  <c r="L31"/>
  <c r="L32"/>
  <c r="L35"/>
  <c r="L36"/>
  <c r="L37"/>
  <c r="L38"/>
  <c r="L45"/>
  <c r="L46"/>
  <c r="L49"/>
  <c r="L55"/>
  <c r="L56"/>
  <c r="L57"/>
  <c r="L58"/>
  <c r="L59"/>
  <c r="L62"/>
  <c r="L86"/>
  <c r="L87"/>
  <c r="L89"/>
  <c r="L92"/>
  <c r="L93"/>
  <c r="N96"/>
  <c r="S14" i="6"/>
  <c r="U14" s="1"/>
  <c r="S16"/>
  <c r="T16" s="1"/>
  <c r="O14" i="7"/>
  <c r="O16"/>
  <c r="H8" i="2"/>
  <c r="P45"/>
  <c r="P51" s="1"/>
  <c r="U85"/>
  <c r="U108"/>
  <c r="H14" i="6"/>
  <c r="H16"/>
  <c r="P106"/>
  <c r="T49"/>
  <c r="P137"/>
  <c r="L53"/>
  <c r="N8" i="7"/>
  <c r="S8" i="6"/>
  <c r="P8"/>
  <c r="L50" i="7"/>
  <c r="L94"/>
  <c r="L95"/>
  <c r="L130"/>
  <c r="L131"/>
  <c r="L134"/>
  <c r="L136"/>
  <c r="U17" i="6"/>
  <c r="T20"/>
  <c r="T24"/>
  <c r="U25"/>
  <c r="U29"/>
  <c r="U31"/>
  <c r="U35"/>
  <c r="U37"/>
  <c r="T42"/>
  <c r="O8" i="7"/>
  <c r="O13"/>
  <c r="O55"/>
  <c r="O85"/>
  <c r="O94"/>
  <c r="Q94" s="1"/>
  <c r="O102"/>
  <c r="Q102" s="1"/>
  <c r="O108"/>
  <c r="N13"/>
  <c r="N14"/>
  <c r="N15"/>
  <c r="N16"/>
  <c r="N17"/>
  <c r="N20"/>
  <c r="P20" s="1"/>
  <c r="N21"/>
  <c r="P21" s="1"/>
  <c r="N24"/>
  <c r="N25"/>
  <c r="P25" s="1"/>
  <c r="N26"/>
  <c r="P26" s="1"/>
  <c r="N29"/>
  <c r="P29" s="1"/>
  <c r="N30"/>
  <c r="P30" s="1"/>
  <c r="N31"/>
  <c r="P31" s="1"/>
  <c r="N32"/>
  <c r="P32" s="1"/>
  <c r="N35"/>
  <c r="P35" s="1"/>
  <c r="N36"/>
  <c r="P36" s="1"/>
  <c r="N37"/>
  <c r="P37" s="1"/>
  <c r="N38"/>
  <c r="P38" s="1"/>
  <c r="N39"/>
  <c r="N40"/>
  <c r="P40" s="1"/>
  <c r="N42"/>
  <c r="P42" s="1"/>
  <c r="N44"/>
  <c r="N49"/>
  <c r="P49" s="1"/>
  <c r="N56"/>
  <c r="N57"/>
  <c r="P57" s="1"/>
  <c r="N58"/>
  <c r="P58" s="1"/>
  <c r="N59"/>
  <c r="P59" s="1"/>
  <c r="N62"/>
  <c r="P62" s="1"/>
  <c r="N64"/>
  <c r="P64" s="1"/>
  <c r="N65"/>
  <c r="P65" s="1"/>
  <c r="N68"/>
  <c r="P68" s="1"/>
  <c r="N69"/>
  <c r="P69" s="1"/>
  <c r="N70"/>
  <c r="P70" s="1"/>
  <c r="N71"/>
  <c r="P71" s="1"/>
  <c r="N72"/>
  <c r="P72" s="1"/>
  <c r="N75"/>
  <c r="P75" s="1"/>
  <c r="N76"/>
  <c r="P76" s="1"/>
  <c r="N77"/>
  <c r="P77" s="1"/>
  <c r="N78"/>
  <c r="P78" s="1"/>
  <c r="N79"/>
  <c r="P79" s="1"/>
  <c r="N80"/>
  <c r="P80" s="1"/>
  <c r="N85"/>
  <c r="N87"/>
  <c r="P87" s="1"/>
  <c r="N88"/>
  <c r="Q88" s="1"/>
  <c r="N89"/>
  <c r="P89" s="1"/>
  <c r="N93"/>
  <c r="P93" s="1"/>
  <c r="N95"/>
  <c r="P95" s="1"/>
  <c r="N97"/>
  <c r="P97" s="1"/>
  <c r="N101"/>
  <c r="P101" s="1"/>
  <c r="N103"/>
  <c r="P103" s="1"/>
  <c r="N108"/>
  <c r="N109"/>
  <c r="P109" s="1"/>
  <c r="N110"/>
  <c r="P110" s="1"/>
  <c r="N111"/>
  <c r="P111" s="1"/>
  <c r="N112"/>
  <c r="P112" s="1"/>
  <c r="N113"/>
  <c r="P113" s="1"/>
  <c r="N114"/>
  <c r="P114" s="1"/>
  <c r="N115"/>
  <c r="P115" s="1"/>
  <c r="N118"/>
  <c r="P118" s="1"/>
  <c r="N119"/>
  <c r="P119" s="1"/>
  <c r="N120"/>
  <c r="P120" s="1"/>
  <c r="N121"/>
  <c r="P121" s="1"/>
  <c r="N124"/>
  <c r="P124" s="1"/>
  <c r="N125"/>
  <c r="P125" s="1"/>
  <c r="N126"/>
  <c r="P126" s="1"/>
  <c r="N129"/>
  <c r="P129" s="1"/>
  <c r="N130"/>
  <c r="P130" s="1"/>
  <c r="N131"/>
  <c r="P131" s="1"/>
  <c r="N134"/>
  <c r="P134" s="1"/>
  <c r="N136"/>
  <c r="P136" s="1"/>
  <c r="Q45"/>
  <c r="Q50"/>
  <c r="Q86"/>
  <c r="Q92"/>
  <c r="Q98"/>
  <c r="P43"/>
  <c r="P135"/>
  <c r="L135"/>
  <c r="Q43"/>
  <c r="P45"/>
  <c r="L8"/>
  <c r="P24"/>
  <c r="L40"/>
  <c r="L42"/>
  <c r="L44"/>
  <c r="L13"/>
  <c r="P46"/>
  <c r="P50"/>
  <c r="P86"/>
  <c r="P92"/>
  <c r="P98"/>
  <c r="Q135"/>
  <c r="P56"/>
  <c r="L85"/>
  <c r="L108"/>
  <c r="L88"/>
  <c r="U64" i="6"/>
  <c r="U68"/>
  <c r="U70"/>
  <c r="U72"/>
  <c r="U76"/>
  <c r="U78"/>
  <c r="U80"/>
  <c r="U87"/>
  <c r="U89"/>
  <c r="U93"/>
  <c r="T78"/>
  <c r="T80"/>
  <c r="T87"/>
  <c r="T89"/>
  <c r="T93"/>
  <c r="T64"/>
  <c r="T68"/>
  <c r="T70"/>
  <c r="T72"/>
  <c r="T76"/>
  <c r="T17"/>
  <c r="U20"/>
  <c r="U24"/>
  <c r="T25"/>
  <c r="U26"/>
  <c r="T29"/>
  <c r="T31"/>
  <c r="T35"/>
  <c r="T37"/>
  <c r="U42"/>
  <c r="U49"/>
  <c r="H143" i="3" l="1"/>
  <c r="U137"/>
  <c r="R143"/>
  <c r="U143" s="1"/>
  <c r="E17" i="11"/>
  <c r="Q103" i="12"/>
  <c r="R103"/>
  <c r="R15" i="11"/>
  <c r="O17"/>
  <c r="Q15"/>
  <c r="Q16" s="1"/>
  <c r="P19" i="12"/>
  <c r="D9" i="11"/>
  <c r="E19" i="12"/>
  <c r="R14"/>
  <c r="Q14"/>
  <c r="G137" i="6"/>
  <c r="G106"/>
  <c r="F117"/>
  <c r="F117" i="7"/>
  <c r="F137" i="3"/>
  <c r="F143" s="1"/>
  <c r="F145" s="1"/>
  <c r="F106"/>
  <c r="C38" i="12" s="1"/>
  <c r="G106" i="7"/>
  <c r="G137"/>
  <c r="G137" i="3"/>
  <c r="G143" s="1"/>
  <c r="G145" s="1"/>
  <c r="G106"/>
  <c r="D38" i="12" s="1"/>
  <c r="I50"/>
  <c r="G55"/>
  <c r="G11" i="11"/>
  <c r="I43" i="12"/>
  <c r="M43"/>
  <c r="K11" i="11"/>
  <c r="M50" i="12"/>
  <c r="K55"/>
  <c r="P31"/>
  <c r="D10" i="11"/>
  <c r="Q26" i="12"/>
  <c r="R26"/>
  <c r="C10" i="11"/>
  <c r="E31" i="12"/>
  <c r="O31"/>
  <c r="T119" i="6"/>
  <c r="T62"/>
  <c r="U38"/>
  <c r="T32"/>
  <c r="T50"/>
  <c r="T15"/>
  <c r="T58"/>
  <c r="S53"/>
  <c r="H8" i="7"/>
  <c r="H8" i="6"/>
  <c r="S81"/>
  <c r="U59"/>
  <c r="U103"/>
  <c r="U131"/>
  <c r="U109"/>
  <c r="P17" i="7"/>
  <c r="O44"/>
  <c r="F53" i="6"/>
  <c r="P41" i="7"/>
  <c r="T21" i="6"/>
  <c r="U79"/>
  <c r="T124"/>
  <c r="T112"/>
  <c r="P14" i="7"/>
  <c r="P53" i="6"/>
  <c r="P94" i="7"/>
  <c r="N63"/>
  <c r="P63" s="1"/>
  <c r="U106" i="2"/>
  <c r="F81" i="6"/>
  <c r="Q77" i="7"/>
  <c r="Q35"/>
  <c r="J143" i="6"/>
  <c r="K11" i="7"/>
  <c r="K51"/>
  <c r="K143" s="1"/>
  <c r="T106" i="2"/>
  <c r="N143" i="6"/>
  <c r="J51" i="7"/>
  <c r="J143" s="1"/>
  <c r="J11"/>
  <c r="F81"/>
  <c r="H55"/>
  <c r="F53"/>
  <c r="K143" i="6"/>
  <c r="Q125" i="7"/>
  <c r="Q65"/>
  <c r="Q42"/>
  <c r="Q21"/>
  <c r="U51" i="2"/>
  <c r="Q113" i="7"/>
  <c r="G11"/>
  <c r="G51"/>
  <c r="G143" s="1"/>
  <c r="G145" s="1"/>
  <c r="H39"/>
  <c r="P44"/>
  <c r="L81"/>
  <c r="T86" i="6"/>
  <c r="U56"/>
  <c r="T65"/>
  <c r="Q40" i="7"/>
  <c r="P15"/>
  <c r="R145" i="1"/>
  <c r="S51"/>
  <c r="U51" s="1"/>
  <c r="G51" i="6"/>
  <c r="T44" i="1"/>
  <c r="U13" i="6"/>
  <c r="U71"/>
  <c r="U102"/>
  <c r="P83"/>
  <c r="Q119" i="7"/>
  <c r="Q109"/>
  <c r="Q71"/>
  <c r="Q59"/>
  <c r="Q29"/>
  <c r="Q131"/>
  <c r="P16"/>
  <c r="L53"/>
  <c r="Q15"/>
  <c r="U135" i="6"/>
  <c r="U129"/>
  <c r="U121"/>
  <c r="U115"/>
  <c r="U111"/>
  <c r="U98"/>
  <c r="L83"/>
  <c r="U85"/>
  <c r="T43"/>
  <c r="U36"/>
  <c r="U30"/>
  <c r="U16"/>
  <c r="U57"/>
  <c r="T77"/>
  <c r="Q129" i="7"/>
  <c r="Q121"/>
  <c r="Q115"/>
  <c r="Q111"/>
  <c r="P102"/>
  <c r="P88"/>
  <c r="Q79"/>
  <c r="Q75"/>
  <c r="Q69"/>
  <c r="Q57"/>
  <c r="Q41"/>
  <c r="Q37"/>
  <c r="Q31"/>
  <c r="Q25"/>
  <c r="U46" i="6"/>
  <c r="T14"/>
  <c r="L104"/>
  <c r="H137"/>
  <c r="R106"/>
  <c r="S137"/>
  <c r="U108"/>
  <c r="U101"/>
  <c r="T95"/>
  <c r="U92"/>
  <c r="T130"/>
  <c r="U125"/>
  <c r="T118"/>
  <c r="U113"/>
  <c r="H106"/>
  <c r="U136"/>
  <c r="T104" i="1"/>
  <c r="T83"/>
  <c r="L106" i="6"/>
  <c r="H11" i="1"/>
  <c r="H51"/>
  <c r="T137"/>
  <c r="T106"/>
  <c r="S11"/>
  <c r="U11" s="1"/>
  <c r="U39"/>
  <c r="T51"/>
  <c r="T145" s="1"/>
  <c r="T11"/>
  <c r="U81"/>
  <c r="R137" i="6"/>
  <c r="R83"/>
  <c r="S106"/>
  <c r="R104"/>
  <c r="U40"/>
  <c r="U75"/>
  <c r="U69"/>
  <c r="U97"/>
  <c r="U94"/>
  <c r="U88"/>
  <c r="T134"/>
  <c r="T126"/>
  <c r="T120"/>
  <c r="T114"/>
  <c r="T110"/>
  <c r="L137"/>
  <c r="T88"/>
  <c r="U110"/>
  <c r="T51" i="3"/>
  <c r="T11"/>
  <c r="T137"/>
  <c r="T106"/>
  <c r="H81"/>
  <c r="H53"/>
  <c r="T8"/>
  <c r="T81"/>
  <c r="T53"/>
  <c r="S51"/>
  <c r="T104"/>
  <c r="T83"/>
  <c r="U45"/>
  <c r="S11"/>
  <c r="U11" s="1"/>
  <c r="P51"/>
  <c r="R53" i="2"/>
  <c r="T55"/>
  <c r="R81"/>
  <c r="H53"/>
  <c r="H81"/>
  <c r="T41"/>
  <c r="U41"/>
  <c r="U8"/>
  <c r="T137"/>
  <c r="T143" s="1"/>
  <c r="U53"/>
  <c r="L11"/>
  <c r="U81"/>
  <c r="R11"/>
  <c r="U11" s="1"/>
  <c r="P11"/>
  <c r="T83"/>
  <c r="T104"/>
  <c r="T45"/>
  <c r="Q17" i="7"/>
  <c r="S44" i="6"/>
  <c r="H44"/>
  <c r="O39" i="7"/>
  <c r="Q39" s="1"/>
  <c r="H63" i="6"/>
  <c r="R63"/>
  <c r="N55" i="7"/>
  <c r="Q55" s="1"/>
  <c r="R45" i="6"/>
  <c r="P45"/>
  <c r="R41"/>
  <c r="L41"/>
  <c r="P39" i="7"/>
  <c r="R8" i="6"/>
  <c r="O96" i="7"/>
  <c r="O104" s="1"/>
  <c r="S96" i="6"/>
  <c r="H96"/>
  <c r="S45"/>
  <c r="S41"/>
  <c r="G11"/>
  <c r="S39"/>
  <c r="H39"/>
  <c r="H55"/>
  <c r="R55"/>
  <c r="L41" i="7"/>
  <c r="L51" s="1"/>
  <c r="Q44"/>
  <c r="N137"/>
  <c r="P108"/>
  <c r="N106"/>
  <c r="L104"/>
  <c r="L83"/>
  <c r="O81"/>
  <c r="O53"/>
  <c r="N51"/>
  <c r="P13"/>
  <c r="N11"/>
  <c r="Q8"/>
  <c r="Q13"/>
  <c r="Q80"/>
  <c r="Q78"/>
  <c r="Q76"/>
  <c r="Q72"/>
  <c r="Q70"/>
  <c r="Q68"/>
  <c r="Q64"/>
  <c r="Q62"/>
  <c r="Q58"/>
  <c r="Q56"/>
  <c r="Q101"/>
  <c r="Q95"/>
  <c r="Q89"/>
  <c r="Q49"/>
  <c r="H137"/>
  <c r="Q38"/>
  <c r="Q36"/>
  <c r="Q32"/>
  <c r="Q30"/>
  <c r="Q26"/>
  <c r="Q24"/>
  <c r="Q20"/>
  <c r="Q16"/>
  <c r="Q14"/>
  <c r="O137"/>
  <c r="Q137" s="1"/>
  <c r="Q108"/>
  <c r="O106"/>
  <c r="Q106" s="1"/>
  <c r="Q85"/>
  <c r="L137"/>
  <c r="L106"/>
  <c r="N104"/>
  <c r="P85"/>
  <c r="N83"/>
  <c r="Q136"/>
  <c r="Q134"/>
  <c r="Q130"/>
  <c r="Q126"/>
  <c r="Q124"/>
  <c r="Q120"/>
  <c r="Q118"/>
  <c r="Q114"/>
  <c r="Q112"/>
  <c r="Q110"/>
  <c r="Q103"/>
  <c r="Q97"/>
  <c r="Q93"/>
  <c r="Q87"/>
  <c r="Q46"/>
  <c r="P8"/>
  <c r="G143" i="6" l="1"/>
  <c r="G145" s="1"/>
  <c r="T143" i="3"/>
  <c r="R17" i="11"/>
  <c r="Q17"/>
  <c r="R19" i="12"/>
  <c r="Q19"/>
  <c r="P9" i="11"/>
  <c r="E9"/>
  <c r="F137" i="6"/>
  <c r="F106"/>
  <c r="H145" i="3"/>
  <c r="D43" i="12"/>
  <c r="D50"/>
  <c r="P38"/>
  <c r="E38"/>
  <c r="O38"/>
  <c r="Q38" s="1"/>
  <c r="C43"/>
  <c r="C50"/>
  <c r="F106" i="7"/>
  <c r="F137"/>
  <c r="F143" s="1"/>
  <c r="F145" s="1"/>
  <c r="H145" s="1"/>
  <c r="F143" i="6"/>
  <c r="F145" s="1"/>
  <c r="G12" i="11"/>
  <c r="I11"/>
  <c r="I55" i="12"/>
  <c r="I201" s="1"/>
  <c r="G201"/>
  <c r="K201"/>
  <c r="M55"/>
  <c r="M201" s="1"/>
  <c r="K12" i="11"/>
  <c r="M11"/>
  <c r="P10"/>
  <c r="Q31" i="12"/>
  <c r="R31"/>
  <c r="O10" i="11"/>
  <c r="E10"/>
  <c r="O83" i="7"/>
  <c r="L143"/>
  <c r="U137" i="6"/>
  <c r="Q63" i="7"/>
  <c r="T11" i="2"/>
  <c r="H81" i="7"/>
  <c r="H53"/>
  <c r="U143" i="1"/>
  <c r="S145"/>
  <c r="H51" i="7"/>
  <c r="H143" s="1"/>
  <c r="H11"/>
  <c r="P55"/>
  <c r="P53" s="1"/>
  <c r="O11"/>
  <c r="Q11" s="1"/>
  <c r="O51"/>
  <c r="N81"/>
  <c r="Q81" s="1"/>
  <c r="N53"/>
  <c r="Q53" s="1"/>
  <c r="U106" i="6"/>
  <c r="T137"/>
  <c r="L11" i="7"/>
  <c r="T106" i="6"/>
  <c r="U41"/>
  <c r="U51" i="3"/>
  <c r="T51" i="2"/>
  <c r="T53"/>
  <c r="T81"/>
  <c r="U45" i="6"/>
  <c r="S51"/>
  <c r="U39"/>
  <c r="T39"/>
  <c r="S11"/>
  <c r="S83"/>
  <c r="U83" s="1"/>
  <c r="S104"/>
  <c r="U104" s="1"/>
  <c r="U96"/>
  <c r="T96"/>
  <c r="Q96" i="7"/>
  <c r="P96"/>
  <c r="P104" s="1"/>
  <c r="R11" i="6"/>
  <c r="R51"/>
  <c r="T41"/>
  <c r="P51"/>
  <c r="P143" s="1"/>
  <c r="P11"/>
  <c r="T44"/>
  <c r="U44"/>
  <c r="R81"/>
  <c r="U81" s="1"/>
  <c r="T55"/>
  <c r="R53"/>
  <c r="U53" s="1"/>
  <c r="U55"/>
  <c r="H53"/>
  <c r="H81"/>
  <c r="H51"/>
  <c r="H11"/>
  <c r="H83"/>
  <c r="H104"/>
  <c r="T8"/>
  <c r="U8"/>
  <c r="L11"/>
  <c r="L51"/>
  <c r="L143" s="1"/>
  <c r="T63"/>
  <c r="U63"/>
  <c r="T45"/>
  <c r="P51" i="7"/>
  <c r="P11"/>
  <c r="P137"/>
  <c r="P106"/>
  <c r="Q83"/>
  <c r="Q104"/>
  <c r="H145" i="6" l="1"/>
  <c r="R9" i="11"/>
  <c r="Q9"/>
  <c r="E43" i="12"/>
  <c r="C11" i="11"/>
  <c r="O43" i="12"/>
  <c r="P50"/>
  <c r="D55"/>
  <c r="E50"/>
  <c r="C55"/>
  <c r="O50"/>
  <c r="Q50" s="1"/>
  <c r="D11" i="11"/>
  <c r="P43" i="12"/>
  <c r="R43" s="1"/>
  <c r="E11" i="11"/>
  <c r="R38" i="12"/>
  <c r="G29" i="11"/>
  <c r="I12"/>
  <c r="I29" s="1"/>
  <c r="M12"/>
  <c r="M29" s="1"/>
  <c r="K29"/>
  <c r="R10"/>
  <c r="Q10"/>
  <c r="P81" i="7"/>
  <c r="P143" s="1"/>
  <c r="H143" i="6"/>
  <c r="R143"/>
  <c r="Q51" i="7"/>
  <c r="O143"/>
  <c r="S143" i="6"/>
  <c r="N143" i="7"/>
  <c r="P83"/>
  <c r="T81" i="6"/>
  <c r="T53"/>
  <c r="T51"/>
  <c r="T11"/>
  <c r="U51"/>
  <c r="T104"/>
  <c r="T83"/>
  <c r="U11"/>
  <c r="P11" i="11" l="1"/>
  <c r="D12"/>
  <c r="E55" i="12"/>
  <c r="E201" s="1"/>
  <c r="C201"/>
  <c r="O55"/>
  <c r="D201"/>
  <c r="P55"/>
  <c r="Q43"/>
  <c r="C12" i="11"/>
  <c r="O11"/>
  <c r="R11" s="1"/>
  <c r="R50" i="12"/>
  <c r="U143" i="6"/>
  <c r="T143"/>
  <c r="Q143" i="7"/>
  <c r="Q11" i="11" l="1"/>
  <c r="E12"/>
  <c r="E29" s="1"/>
  <c r="C29"/>
  <c r="O12"/>
  <c r="P201" i="12"/>
  <c r="R55"/>
  <c r="Q55"/>
  <c r="Q201" s="1"/>
  <c r="Q203" s="1"/>
  <c r="O201"/>
  <c r="P12" i="11"/>
  <c r="D29"/>
  <c r="R201" i="12" l="1"/>
  <c r="Q12" i="11"/>
  <c r="Q29" s="1"/>
  <c r="Q31" s="1"/>
  <c r="O29"/>
  <c r="P29"/>
  <c r="R12"/>
  <c r="R29" l="1"/>
</calcChain>
</file>

<file path=xl/comments1.xml><?xml version="1.0" encoding="utf-8"?>
<comments xmlns="http://schemas.openxmlformats.org/spreadsheetml/2006/main">
  <authors>
    <author>Administrator</author>
  </authors>
  <commentList>
    <comment ref="E3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includes LDDAP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3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includes LDDAP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E3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includes LDDAP</t>
        </r>
      </text>
    </comment>
  </commentList>
</comments>
</file>

<file path=xl/sharedStrings.xml><?xml version="1.0" encoding="utf-8"?>
<sst xmlns="http://schemas.openxmlformats.org/spreadsheetml/2006/main" count="2624" uniqueCount="308">
  <si>
    <t>Department of Health</t>
  </si>
  <si>
    <t>Status of MDS Utilization</t>
  </si>
  <si>
    <t>For the month of January, 2014</t>
  </si>
  <si>
    <t>AGENCY</t>
  </si>
  <si>
    <t>REGULAR MDS</t>
  </si>
  <si>
    <t>N T C A</t>
  </si>
  <si>
    <t>ACCOUNTS PAYABLE MDS</t>
  </si>
  <si>
    <t>T O T A L</t>
  </si>
  <si>
    <t>% of Disbursement</t>
  </si>
  <si>
    <t>NCA
RECEIVED</t>
  </si>
  <si>
    <t>DISBURSEMENTS</t>
  </si>
  <si>
    <t>UNUTILIZED
BALANCE</t>
  </si>
  <si>
    <t>NTCA
RECEIVED</t>
  </si>
  <si>
    <t>RECEIPTS</t>
  </si>
  <si>
    <t>Central Office</t>
  </si>
  <si>
    <t>Operation of Centers for Health Development</t>
  </si>
  <si>
    <t xml:space="preserve">NCR &amp; SOUTHERN LUZON CLUSTER/METRO MANILA HOSPITALS </t>
  </si>
  <si>
    <t>1. Metro Manila (CHD NCR)</t>
  </si>
  <si>
    <t>CHD NCR</t>
  </si>
  <si>
    <t xml:space="preserve">1. Valenzuela Medical Center </t>
  </si>
  <si>
    <t>2. Las Piñas General Hospital and Satellite Trauma Center, Secondary, Las Pinas Metro Manila</t>
  </si>
  <si>
    <t>3. San Lorenzo Ruiz Special Hospital for Women, Malabon</t>
  </si>
  <si>
    <t>4. Dr. Jose N. Rodriguez Memorial Hospital, Sanitaria, Tala, Quezon City</t>
  </si>
  <si>
    <t>2. Calabarzon (CHD 4-A)</t>
  </si>
  <si>
    <t>CHD 4-A - Calabarzon</t>
  </si>
  <si>
    <t>1. Batangas Regional Hospital, Tertiary- Regional, Batangas City</t>
  </si>
  <si>
    <t>3. Mimaropa (CHD 4-B)</t>
  </si>
  <si>
    <t>CHD 4-B - Mimaropa</t>
  </si>
  <si>
    <t>1. Culion Sanitarium and Balala Hospital, Sanitaria, Culion, Palawan</t>
  </si>
  <si>
    <t>2. Ospital ng Palawan, Tertiary, Puerto Princesa, Palawan.</t>
  </si>
  <si>
    <t>4. Bicol (CHD 5)</t>
  </si>
  <si>
    <t>CHD 5 - Bicol</t>
  </si>
  <si>
    <t>1. Bicol Medical Center, Tertiary-Medical Center, Naga City</t>
  </si>
  <si>
    <t>2. Bicol Regional Training and Teaching Hospital, Tertiary-Regional,  Legazpi City</t>
  </si>
  <si>
    <t>3. Bicol Sanitarium, Sanitaria, Cabusao, Camarines Sur</t>
  </si>
  <si>
    <t>5. Metro Manila Hospitals</t>
  </si>
  <si>
    <t xml:space="preserve">     1. Amang Rodriguez Medical Center</t>
  </si>
  <si>
    <t xml:space="preserve">     2. East Avenue Medical Center</t>
  </si>
  <si>
    <t xml:space="preserve">     3. Jose Fabella Memorial Hospital</t>
  </si>
  <si>
    <t xml:space="preserve">     4. Jose Reyes Memorial Medical Center</t>
  </si>
  <si>
    <t xml:space="preserve">     5. National Center for Mental Health</t>
  </si>
  <si>
    <t xml:space="preserve">     6. National Children's Hospital</t>
  </si>
  <si>
    <t xml:space="preserve">     7. Philippine Orthopedic Center</t>
  </si>
  <si>
    <t xml:space="preserve">     8. Quirino Memorial Medical Center</t>
  </si>
  <si>
    <t xml:space="preserve">     9 . Research Institute for Tropical Medicine</t>
  </si>
  <si>
    <t xml:space="preserve">    10. Rizal Medical Center</t>
  </si>
  <si>
    <t xml:space="preserve">    11. San Lazaro Hospital</t>
  </si>
  <si>
    <t xml:space="preserve">    12. Tondo Medical Center</t>
  </si>
  <si>
    <t>6. Bureaus</t>
  </si>
  <si>
    <t>1. Bureau of Quarantine</t>
  </si>
  <si>
    <t>2. Food and Drug Administration</t>
  </si>
  <si>
    <t>Sub-total</t>
  </si>
  <si>
    <t>NORTHERN &amp; CENTRAL LUZON CLUSTER</t>
  </si>
  <si>
    <t>7. Cordillera (CHD CAR)</t>
  </si>
  <si>
    <t>CHD CAR</t>
  </si>
  <si>
    <t>1. Baguio General Hospital and Medical Center, Tertiary-Medical, Baguio City</t>
  </si>
  <si>
    <t>2. Luis Hora Memorial Regional Hospital Tertiary- Regional, Bauko, Mt. Province</t>
  </si>
  <si>
    <t xml:space="preserve">3. Conner District Hosp, Conner, Apayao </t>
  </si>
  <si>
    <t>4. Far North Luzon General Hospital and Training Center, Luna, Apayao</t>
  </si>
  <si>
    <t>8. Ilocos (CHD 1)</t>
  </si>
  <si>
    <t>CHD 1 - Ilocos</t>
  </si>
  <si>
    <t>1.  Mariano Marcos Memorial Hospital and Medical Center, Tertiary- Medical Center, Batac, Ilocos Norte,</t>
  </si>
  <si>
    <t>2. Region I Medical Center, Tertiary-Medical Center, Dagupan City</t>
  </si>
  <si>
    <t>3. Ilocos Training and Regional Medical Center, Tertiary-Regional, San Fernando, La Union</t>
  </si>
  <si>
    <t>9. Cagayan Valley (CHD 2)</t>
  </si>
  <si>
    <t>CHD 2 - Cagayan Valley</t>
  </si>
  <si>
    <t>1. Cagayan Valley Medical Center, Tertiary - Medical Center, Tuguegarao , Cagayan</t>
  </si>
  <si>
    <t>2. Veterans General Hospital, Tertiary - Regional,  Bayombong, Nueva Vizcaya</t>
  </si>
  <si>
    <t>3. Southern Isabela General Hosp., Santiago City, Isabela</t>
  </si>
  <si>
    <t>4. Batanes General Hospital, Tertiary, Basco, Batanes</t>
  </si>
  <si>
    <t xml:space="preserve"> 10. Central Luzon (CHD 3)</t>
  </si>
  <si>
    <t>CHD 3 - Cental Luzon</t>
  </si>
  <si>
    <t>1. Dr. Paulino J. Garcia Memorial Research &amp; Medical  Center, Tertiary-Medical, Cabanatuan City</t>
  </si>
  <si>
    <t>2. Talavera Extension Hospital, Secondary, Talavera, Nueva Ecija</t>
  </si>
  <si>
    <t>3. Jose B. Lingad Memorial General Hospital, Tertiary-Regional, San Fernando, Pampanga</t>
  </si>
  <si>
    <t>4. Mariveles Mental Hospital, Mariveles, Bataan</t>
  </si>
  <si>
    <t>5. Bataan General Hospital, Tertiary, Balanga, Bataan.</t>
  </si>
  <si>
    <t>VISAYAS CLUSTER</t>
  </si>
  <si>
    <t>11. Western Visayas (CHD 6)</t>
  </si>
  <si>
    <t>CHD 6 - Western Visayas</t>
  </si>
  <si>
    <t xml:space="preserve">1. Western Visayas Medical Center, Tertiary - Regional, Iloilo City </t>
  </si>
  <si>
    <t>2. Corazon Locsin Memorial Hospital (Western Visayas Regional Hospital) Tertiary-Regional, Bacolod City</t>
  </si>
  <si>
    <t>3. Western Visayas Sanitarium, Sta. Barbara, Iloilo City</t>
  </si>
  <si>
    <t>4. Don Jose S. Monfort Medical Center, Ext. Hosp., Tertiary Medical Center, Barotac Nuevo, Iloilo</t>
  </si>
  <si>
    <t>12. Central Visayas (CHD 7)</t>
  </si>
  <si>
    <t>CHD 7 - Central Visayas</t>
  </si>
  <si>
    <t>1. Vicente Sotto Sr. Memorial Medical Center, Tertiary -Medical Center, Cebu City</t>
  </si>
  <si>
    <t>2. Gov. Celestino Gallares Memorial Hospital, Tertiary-Regional, Tagbilaran City</t>
  </si>
  <si>
    <t>3. St. Anthony Mother and Child Hospital, Secondary, Cebu City</t>
  </si>
  <si>
    <t>4. Eversley Child Sanitarium, Sanitaria, Mandaue City</t>
  </si>
  <si>
    <t>5. Talisay District Hospital,  Talisay, Cebu</t>
  </si>
  <si>
    <t>6. Don Emilio del Valle Memorial Hospital, Ubay, Bohol</t>
  </si>
  <si>
    <t>13. Eastern Visayas (CHD 8)</t>
  </si>
  <si>
    <t>CHD 8 - Eastern Visayas</t>
  </si>
  <si>
    <t>1. Eastern Visayas Regional Medical Center, Tertiary Medical Center, Tacloban City</t>
  </si>
  <si>
    <t>2. Schistosomiasis Hospital, Secondary Medical Center, Palo, Leyte</t>
  </si>
  <si>
    <t xml:space="preserve">  </t>
  </si>
  <si>
    <t>MINDANAO CLUSTER</t>
  </si>
  <si>
    <t>14. Zamboanga Peninsula (CHD 9)</t>
  </si>
  <si>
    <t>CHD 9 - Zamboanga Peninsula</t>
  </si>
  <si>
    <t>1. Zamboanga City Medical Center, Tertiary- Medical Center, Zamboanga City</t>
  </si>
  <si>
    <t>2. Mindanao Central Sanitarium, Sanitaria, Pasabolong, Zamboanga City</t>
  </si>
  <si>
    <t>3. Sulu Sanitarium, Sanitaria, San Raymundo, Jolo, Sulu</t>
  </si>
  <si>
    <t>4. Labuan Public Hospital, Labuan, Zamboanga City</t>
  </si>
  <si>
    <t>5. Basilan General Hospital, Tertiary, Isabela, Basilan</t>
  </si>
  <si>
    <t>6. Dr. Jose Rizal Memorial Hospital, Tertiary, Dapitan City, Zamboanga del Norte</t>
  </si>
  <si>
    <t>7. Margosatubig Regional Hospital, Tertiary- Regional, Margosatubig, Zamboanga del Sur</t>
  </si>
  <si>
    <t>15. Northern Mindanao (CHD 10)</t>
  </si>
  <si>
    <t>CHD 10 - Northern Mindanao</t>
  </si>
  <si>
    <t>1. Northern Mindanao Medical Center, Tertiary- Medical Center, Cagayan De Oro City</t>
  </si>
  <si>
    <t>2. Mayor Hilarion A. Ramiro Sr. Regional Training and Teaching Hospital, Tertiary-Regional, Ozamis City</t>
  </si>
  <si>
    <t>3. Amai Pakpak Medical Center, Tertiary-Medical Center, Marawi City, Lanao del Sur</t>
  </si>
  <si>
    <t>16. Davao Region (CHD 11)</t>
  </si>
  <si>
    <t>CHD 11 - Davao</t>
  </si>
  <si>
    <t>with NTCA receipts from FDA - 1,707,000, disbursements of 1,086,016.88</t>
  </si>
  <si>
    <t>1. Southern Philippines Medical Center</t>
  </si>
  <si>
    <t>2.  Davao Regional Hospital, Tertiary-Regional, Tagum, Davao Del Norte</t>
  </si>
  <si>
    <t>17. Soccsksargen (CHD 12)</t>
  </si>
  <si>
    <t>CHD 12 - Soccsksargen</t>
  </si>
  <si>
    <t>1. Cotabato Regional and Medical Center, Tertiary- Medical Center, Cotabato City</t>
  </si>
  <si>
    <t>2. Cotabato Sanitarium, Sanitaria, Cotabato City</t>
  </si>
  <si>
    <t>18. Caraga</t>
  </si>
  <si>
    <t>CHD Caraga</t>
  </si>
  <si>
    <t>1. Caraga Regional Hospital, Tertiary-Regional, Surigao City</t>
  </si>
  <si>
    <t>2. Adela Serra Ty Memorial Medical Center, Tandag, Surigao del Sur</t>
  </si>
  <si>
    <t xml:space="preserve">T O T A L </t>
  </si>
  <si>
    <t>Prepared By:</t>
  </si>
  <si>
    <t>Certified Correct:</t>
  </si>
  <si>
    <t>Noted By:</t>
  </si>
  <si>
    <t>MARC JOSEPH C. EBDANI, CPA</t>
  </si>
  <si>
    <t>RACQUEL P. ALVENDIA, CPA, MBAH</t>
  </si>
  <si>
    <t>LAUREANO C. CRUZ</t>
  </si>
  <si>
    <t>Accounting Specialist II</t>
  </si>
  <si>
    <t>Chief, Accounting Division</t>
  </si>
  <si>
    <t>OIC, Finance Service</t>
  </si>
  <si>
    <t>For the month of February, 2014</t>
  </si>
  <si>
    <t>with NTCA receipts from FDA - 1,907,000, disbursements of 1,763,775.56</t>
  </si>
  <si>
    <t>For the month of March, 2014</t>
  </si>
  <si>
    <t>with NTCA receipts from FDA - 1,798,000, disbursements of 941,117.28</t>
  </si>
  <si>
    <t>For the month of April, 2014</t>
  </si>
  <si>
    <t>with NTCA receipts from FDA - 1,822,000, disbursements of 1,106,295.53</t>
  </si>
  <si>
    <t>For the month of May, 2014</t>
  </si>
  <si>
    <t>1. Batangas Medical Center, Tertiary- Regional, Batangas City</t>
  </si>
  <si>
    <t>with NTCA receipts from FDA - 2,026,674, disbursements of 1,255,519.78</t>
  </si>
  <si>
    <t>For the month of June, 2014</t>
  </si>
  <si>
    <t>with NTCA receipts from FDA - 1,549,000, disbursements of 861,194.08</t>
  </si>
  <si>
    <t>As of June 30, 2014</t>
  </si>
  <si>
    <t>19. ATTACHED AGENCIES</t>
  </si>
  <si>
    <t>1. National Nutrition Council</t>
  </si>
  <si>
    <t>2. Commission on Population</t>
  </si>
  <si>
    <t>January</t>
  </si>
  <si>
    <t>February</t>
  </si>
  <si>
    <t>March</t>
  </si>
  <si>
    <t>sub-total for quarter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</si>
  <si>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</si>
  <si>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</si>
  <si>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</si>
  <si>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</si>
  <si>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</si>
  <si>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</si>
  <si>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</si>
  <si>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</si>
  <si>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</si>
  <si>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</si>
  <si>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Visayas Cluster</t>
  </si>
  <si>
    <t>Mindanao Cluster</t>
  </si>
  <si>
    <t>Bureau of Quarantine</t>
  </si>
  <si>
    <t>Food and Drug Administration</t>
  </si>
  <si>
    <t>National Nutrition Council</t>
  </si>
  <si>
    <t>Commission on Population</t>
  </si>
  <si>
    <t>Luzon Cluster</t>
  </si>
  <si>
    <t>Sub-total,  January</t>
  </si>
  <si>
    <t>NCR &amp; Metro Manila Hospitals Cluster</t>
  </si>
  <si>
    <t>Sub-total,  February</t>
  </si>
  <si>
    <t>Sub-total,  March</t>
  </si>
  <si>
    <t>Sub-total, 1st Quarter</t>
  </si>
  <si>
    <t>Sub-total,  April</t>
  </si>
  <si>
    <t>Sub-total,  May</t>
  </si>
  <si>
    <t>Sub-total,  June</t>
  </si>
  <si>
    <t>1st Quarter</t>
  </si>
  <si>
    <t>Sub-total, 2nd Quarter</t>
  </si>
  <si>
    <t>2nd Quarter</t>
  </si>
  <si>
    <t>For the month of July, 2014</t>
  </si>
  <si>
    <t>For the month of August, 2014</t>
  </si>
  <si>
    <t>For the month of September, 2014</t>
  </si>
  <si>
    <t>For the month of October, 2014</t>
  </si>
  <si>
    <t>For the month of November, 2014</t>
  </si>
  <si>
    <t>For the month of December, 2014</t>
  </si>
  <si>
    <t>Sub-total,  July</t>
  </si>
  <si>
    <t>Sub-total,  August</t>
  </si>
  <si>
    <t>Sub-total,  September</t>
  </si>
  <si>
    <t>3rd Quarter</t>
  </si>
  <si>
    <t>Sub-total, 3rd Quarter</t>
  </si>
  <si>
    <t>Sub-total,  October</t>
  </si>
  <si>
    <t>Sub-total,  November</t>
  </si>
  <si>
    <t>Sub-total,  December</t>
  </si>
  <si>
    <t>4th Quarter</t>
  </si>
  <si>
    <t>Sub-total, 4th Quarter</t>
  </si>
  <si>
    <t>CHDs/HOSPITALS</t>
  </si>
  <si>
    <t>Date Submitted</t>
  </si>
  <si>
    <t>on or before due date (7th day of the ensuing month)</t>
  </si>
  <si>
    <t>beyond due date</t>
  </si>
  <si>
    <t>CHD- NCR</t>
  </si>
  <si>
    <t xml:space="preserve">  1. Valenzuela Medical Center</t>
  </si>
  <si>
    <t xml:space="preserve">  2. Las Piñas General Hospital and Satellite Trauma Center</t>
  </si>
  <si>
    <t xml:space="preserve">  3. San Lorenzo Ruiz Special Hospital for Women</t>
  </si>
  <si>
    <t xml:space="preserve">  4. Dr. Jose N. Rodriguez Memorial Hospital</t>
  </si>
  <si>
    <t>CHD- CAR</t>
  </si>
  <si>
    <t xml:space="preserve">  1. Baguio General Hospital and Medical Center</t>
  </si>
  <si>
    <t xml:space="preserve">  2. Luis Hora Memorial Regional Hospital</t>
  </si>
  <si>
    <t xml:space="preserve">  3. Conner District Hospital</t>
  </si>
  <si>
    <t xml:space="preserve">  4. Far North Luzon General Hosp. &amp; Training Center</t>
  </si>
  <si>
    <t>CHD 1- Ilocos</t>
  </si>
  <si>
    <t xml:space="preserve">  1. Region 1 Medical Center</t>
  </si>
  <si>
    <t xml:space="preserve">  2. Mariano Marcos Memorial Hospital and Medical Center</t>
  </si>
  <si>
    <t xml:space="preserve">  3. Ilocos Training and Regional Medical Center</t>
  </si>
  <si>
    <t xml:space="preserve"> </t>
  </si>
  <si>
    <t xml:space="preserve">CHD 2- Cagayan Valley </t>
  </si>
  <si>
    <t xml:space="preserve">  1. Cagayan Valley Medical Center</t>
  </si>
  <si>
    <t xml:space="preserve">  2. Veterans Regional Hospital</t>
  </si>
  <si>
    <t xml:space="preserve">  3. Southern Isabela General Hospital</t>
  </si>
  <si>
    <t xml:space="preserve">  4. Batanes General Hospital</t>
  </si>
  <si>
    <t>CHD 3- Central Luzon</t>
  </si>
  <si>
    <t xml:space="preserve">  1. Dr. Paulino J. Garcia Memorial Research and Medical Center</t>
  </si>
  <si>
    <t xml:space="preserve">  2. Talavera Extension Hospital</t>
  </si>
  <si>
    <t xml:space="preserve">  3. Jose B. Lingad Memorial General Hospital</t>
  </si>
  <si>
    <t xml:space="preserve">  4. Mariveles Mental Hospital</t>
  </si>
  <si>
    <t xml:space="preserve">  5. Bataan General Hospital</t>
  </si>
  <si>
    <t xml:space="preserve">  1. Batangas Medical Center</t>
  </si>
  <si>
    <t>CHD 4-B- Mimaropa</t>
  </si>
  <si>
    <t xml:space="preserve">  1. Culion Sanitarium and Balala Hospital</t>
  </si>
  <si>
    <t xml:space="preserve">  2. Ospital ng Palawan</t>
  </si>
  <si>
    <t>CHD 5- Bicol</t>
  </si>
  <si>
    <t xml:space="preserve">  1. Bicol Medical Center</t>
  </si>
  <si>
    <t xml:space="preserve">  2. Bicol Regional Training and Teaching Hospital</t>
  </si>
  <si>
    <t xml:space="preserve">  3. Bicol Sanitarium</t>
  </si>
  <si>
    <t>CHD 6- Western Visayas</t>
  </si>
  <si>
    <t xml:space="preserve">  1. Western Visayas Medical Center</t>
  </si>
  <si>
    <t xml:space="preserve">  2. Western Visayas Sanitarium</t>
  </si>
  <si>
    <t xml:space="preserve">  3. Don Jose S. Monfort Medical Center</t>
  </si>
  <si>
    <t xml:space="preserve">  4. Corazon Locsin Montelibano Memorial Regional Hospital</t>
  </si>
  <si>
    <t>CHD 7- Central Visayas</t>
  </si>
  <si>
    <t xml:space="preserve">  1. Vicente Sotto Sr. Memorial Medical Center</t>
  </si>
  <si>
    <t xml:space="preserve">  2. Gov. Celestino Gallares Memorial Hospital</t>
  </si>
  <si>
    <t xml:space="preserve">  3. St. Anthony Mother and Child Hospital</t>
  </si>
  <si>
    <t xml:space="preserve">  4. Eversley Childs Sanitarium</t>
  </si>
  <si>
    <t xml:space="preserve">  5. Talisay District Hospital</t>
  </si>
  <si>
    <t xml:space="preserve">  6. Don Emilio Del Valle Memorial Hospital</t>
  </si>
  <si>
    <t>CHD 8- Eastern Visayas</t>
  </si>
  <si>
    <t xml:space="preserve">  1. Eastern Visayas Regional Medical Center</t>
  </si>
  <si>
    <t xml:space="preserve">  2. Schistosomiasis Control &amp; Research Hospital</t>
  </si>
  <si>
    <t>CHD 9- Zamboanga Peninsula</t>
  </si>
  <si>
    <t xml:space="preserve">  1. Zamboanga City Medical Center</t>
  </si>
  <si>
    <t xml:space="preserve">  2. Mindanao Central Sanitarium</t>
  </si>
  <si>
    <t xml:space="preserve">  3. Sulu Sanitarium</t>
  </si>
  <si>
    <t xml:space="preserve">  4. Labuan Public Hospital</t>
  </si>
  <si>
    <t xml:space="preserve">  5. Basilan General Hospital</t>
  </si>
  <si>
    <t xml:space="preserve">  6. Dr. Jose Rizal Memorial Hospital</t>
  </si>
  <si>
    <t xml:space="preserve">  7. Margosatubig Regional Hospital</t>
  </si>
  <si>
    <t>CHD 10- Northern Mindanao</t>
  </si>
  <si>
    <t xml:space="preserve">  1. Northern Mindanao Medical Center</t>
  </si>
  <si>
    <t xml:space="preserve">  2. Mayor Hilarion A. Ramiro Sr. Regional Training and Teaching Hospital</t>
  </si>
  <si>
    <t xml:space="preserve">  3. Amai Pakpak Medical Center</t>
  </si>
  <si>
    <t>CHD 11- Davao Region</t>
  </si>
  <si>
    <t xml:space="preserve">  1. Southern Philippines Medical Center</t>
  </si>
  <si>
    <t xml:space="preserve">  2. Davao Regional Hospital</t>
  </si>
  <si>
    <t>CHD 12- Soccsksargen</t>
  </si>
  <si>
    <t xml:space="preserve">  1. Cotabato Regional and Medical Center</t>
  </si>
  <si>
    <t xml:space="preserve">  2. Cotabato Sanitarium</t>
  </si>
  <si>
    <t>CHD- CARAGA</t>
  </si>
  <si>
    <t xml:space="preserve">  1. Caraga Regional Hospital</t>
  </si>
  <si>
    <t xml:space="preserve">  2. Adela Serra Ty Memorial Medical Center</t>
  </si>
  <si>
    <t xml:space="preserve">METRO MANILA HOSPITALS </t>
  </si>
  <si>
    <t xml:space="preserve">  1. Jose Reyes Memorial Medical Center</t>
  </si>
  <si>
    <t xml:space="preserve">  2. Rizal Medical Center</t>
  </si>
  <si>
    <t xml:space="preserve">  3. East Avenue Medical Center</t>
  </si>
  <si>
    <t xml:space="preserve">  4. Quirino Memorial Medical Center</t>
  </si>
  <si>
    <t xml:space="preserve">  5. Tondo Medical Center</t>
  </si>
  <si>
    <t xml:space="preserve">  6. Jose Fabella Memorial Hospital</t>
  </si>
  <si>
    <t xml:space="preserve">  7. National Children's Hospital</t>
  </si>
  <si>
    <t xml:space="preserve">  8. National Center for Mental Health</t>
  </si>
  <si>
    <t xml:space="preserve">  9. Philippine Orthopedic Center</t>
  </si>
  <si>
    <t xml:space="preserve">  10.San Lazaro Hospital</t>
  </si>
  <si>
    <t xml:space="preserve">  11.Research Institute for Tropical Medicine</t>
  </si>
  <si>
    <t xml:space="preserve">  12.Amang Rodriguez Medical Center</t>
  </si>
  <si>
    <t>BUREAUS</t>
  </si>
  <si>
    <t xml:space="preserve">  1. FDA</t>
  </si>
  <si>
    <t xml:space="preserve">  2. Bureau of Quarantine</t>
  </si>
  <si>
    <t>CHDs/hospitals/bureaus submitted</t>
  </si>
  <si>
    <t>Total CHDs/hospitals/bureaus</t>
  </si>
  <si>
    <t>% of Submission</t>
  </si>
  <si>
    <t>with NTCA receipts from FDA - 1,549,000, disbursements of 984,058.04</t>
  </si>
  <si>
    <t>figure under NTCA column came from its Regional Office</t>
  </si>
  <si>
    <r>
      <t xml:space="preserve">% of </t>
    </r>
    <r>
      <rPr>
        <sz val="8"/>
        <rFont val="Arial"/>
        <family val="2"/>
      </rPr>
      <t>Disbursement</t>
    </r>
  </si>
  <si>
    <t>with NTCA receipts from FDA - 1,549,000, disbursements of 2,188,503.09</t>
  </si>
  <si>
    <t>As of September 30, 2014</t>
  </si>
  <si>
    <t>Accountant II</t>
  </si>
  <si>
    <t>with NTCA receipts from FDA - 1,804,000, disbursements of 1,033,924.32</t>
  </si>
  <si>
    <t>with NTCA receipts from FDA - 1,754,000, disbursements of 2,116,474.91</t>
  </si>
  <si>
    <t>TOTAL</t>
  </si>
  <si>
    <t>LAUREANO C. CRUZ, MPA</t>
  </si>
  <si>
    <t>OIC-Director III, Finance Service</t>
  </si>
  <si>
    <t>with NTCA receipts from FDA - 1,549,000, disbursements of 2,187,307.81</t>
  </si>
  <si>
    <t>Status of Submission of Report (as of )</t>
  </si>
  <si>
    <t>Submission of Report on MDS Utilization for December 2014</t>
  </si>
  <si>
    <t>As of December 31, 2014</t>
  </si>
  <si>
    <t>with NTCA receipts from FDA - 1,887,000, disbursements of 1,448,458.68</t>
  </si>
  <si>
    <t>via text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</si>
</sst>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General_)"/>
    <numFmt numFmtId="165" formatCode="dd\-mmm\-yy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9"/>
      <name val="MS Sans Serif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Tahoma"/>
      <family val="2"/>
    </font>
    <font>
      <b/>
      <sz val="9"/>
      <color theme="4" tint="-0.249977111117893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ahoma"/>
      <family val="2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color indexed="8"/>
      <name val="MS Sans Serif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11"/>
      <color theme="0"/>
      <name val="Arial"/>
      <family val="2"/>
    </font>
    <font>
      <sz val="10"/>
      <color rgb="FF000000"/>
      <name val="Lucida Console"/>
      <family val="3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33" fillId="0" borderId="0" applyFont="0" applyFill="0" applyBorder="0" applyAlignment="0" applyProtection="0"/>
  </cellStyleXfs>
  <cellXfs count="146">
    <xf numFmtId="0" fontId="0" fillId="0" borderId="0" xfId="0"/>
    <xf numFmtId="10" fontId="3" fillId="0" borderId="0" xfId="2" applyNumberFormat="1" applyFont="1" applyFill="1" applyBorder="1"/>
    <xf numFmtId="0" fontId="3" fillId="0" borderId="0" xfId="0" applyFont="1" applyFill="1" applyBorder="1"/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5" fillId="0" borderId="16" xfId="0" applyFont="1" applyFill="1" applyBorder="1" applyAlignment="1">
      <alignment vertical="top"/>
    </xf>
    <xf numFmtId="0" fontId="3" fillId="0" borderId="17" xfId="0" applyFont="1" applyFill="1" applyBorder="1"/>
    <xf numFmtId="0" fontId="3" fillId="0" borderId="17" xfId="0" applyFont="1" applyFill="1" applyBorder="1" applyAlignment="1">
      <alignment vertical="top"/>
    </xf>
    <xf numFmtId="43" fontId="3" fillId="0" borderId="18" xfId="1" applyFont="1" applyFill="1" applyBorder="1"/>
    <xf numFmtId="43" fontId="3" fillId="0" borderId="0" xfId="1" applyFont="1" applyFill="1" applyBorder="1"/>
    <xf numFmtId="43" fontId="3" fillId="0" borderId="19" xfId="1" applyFont="1" applyFill="1" applyBorder="1"/>
    <xf numFmtId="10" fontId="3" fillId="0" borderId="20" xfId="2" applyNumberFormat="1" applyFont="1" applyFill="1" applyBorder="1"/>
    <xf numFmtId="43" fontId="3" fillId="0" borderId="0" xfId="1" quotePrefix="1" applyFont="1" applyFill="1" applyBorder="1"/>
    <xf numFmtId="10" fontId="3" fillId="0" borderId="21" xfId="2" applyNumberFormat="1" applyFont="1" applyFill="1" applyBorder="1"/>
    <xf numFmtId="0" fontId="3" fillId="0" borderId="16" xfId="0" applyFont="1" applyFill="1" applyBorder="1"/>
    <xf numFmtId="164" fontId="3" fillId="0" borderId="17" xfId="0" applyNumberFormat="1" applyFont="1" applyFill="1" applyBorder="1" applyAlignment="1" applyProtection="1">
      <alignment vertical="top"/>
    </xf>
    <xf numFmtId="0" fontId="5" fillId="0" borderId="17" xfId="0" applyFont="1" applyFill="1" applyBorder="1" applyAlignment="1">
      <alignment vertical="top"/>
    </xf>
    <xf numFmtId="164" fontId="3" fillId="0" borderId="17" xfId="0" applyNumberFormat="1" applyFont="1" applyFill="1" applyBorder="1" applyAlignment="1" applyProtection="1">
      <alignment vertical="top" wrapText="1"/>
    </xf>
    <xf numFmtId="164" fontId="3" fillId="0" borderId="17" xfId="0" applyNumberFormat="1" applyFont="1" applyFill="1" applyBorder="1" applyAlignment="1" applyProtection="1">
      <alignment horizontal="left" vertical="top" wrapText="1"/>
    </xf>
    <xf numFmtId="43" fontId="6" fillId="0" borderId="18" xfId="1" applyFont="1" applyFill="1" applyBorder="1"/>
    <xf numFmtId="0" fontId="5" fillId="0" borderId="17" xfId="0" applyFont="1" applyFill="1" applyBorder="1"/>
    <xf numFmtId="164" fontId="3" fillId="0" borderId="0" xfId="0" applyNumberFormat="1" applyFont="1" applyFill="1" applyBorder="1" applyAlignment="1" applyProtection="1">
      <alignment horizontal="left" vertical="top"/>
    </xf>
    <xf numFmtId="164" fontId="7" fillId="0" borderId="17" xfId="0" applyNumberFormat="1" applyFont="1" applyFill="1" applyBorder="1" applyAlignment="1" applyProtection="1">
      <alignment horizontal="left" vertical="top" wrapText="1"/>
    </xf>
    <xf numFmtId="164" fontId="3" fillId="0" borderId="23" xfId="0" applyNumberFormat="1" applyFont="1" applyFill="1" applyBorder="1" applyAlignment="1" applyProtection="1">
      <alignment horizontal="left" vertical="top"/>
    </xf>
    <xf numFmtId="164" fontId="3" fillId="0" borderId="17" xfId="0" applyNumberFormat="1" applyFont="1" applyFill="1" applyBorder="1" applyAlignment="1" applyProtection="1">
      <alignment horizontal="left" vertical="top"/>
    </xf>
    <xf numFmtId="164" fontId="3" fillId="0" borderId="24" xfId="0" applyNumberFormat="1" applyFont="1" applyFill="1" applyBorder="1" applyAlignment="1" applyProtection="1">
      <alignment horizontal="left" vertical="top"/>
    </xf>
    <xf numFmtId="43" fontId="3" fillId="0" borderId="0" xfId="0" applyNumberFormat="1" applyFont="1" applyFill="1" applyBorder="1"/>
    <xf numFmtId="164" fontId="3" fillId="0" borderId="17" xfId="0" applyNumberFormat="1" applyFont="1" applyFill="1" applyBorder="1" applyAlignment="1" applyProtection="1">
      <alignment horizontal="center" wrapText="1"/>
    </xf>
    <xf numFmtId="43" fontId="5" fillId="0" borderId="18" xfId="1" applyFont="1" applyFill="1" applyBorder="1"/>
    <xf numFmtId="43" fontId="5" fillId="0" borderId="0" xfId="1" applyFont="1" applyFill="1" applyBorder="1"/>
    <xf numFmtId="43" fontId="5" fillId="0" borderId="19" xfId="1" applyFont="1" applyFill="1" applyBorder="1"/>
    <xf numFmtId="43" fontId="8" fillId="0" borderId="18" xfId="0" applyNumberFormat="1" applyFont="1" applyFill="1" applyBorder="1" applyAlignment="1" applyProtection="1"/>
    <xf numFmtId="43" fontId="8" fillId="0" borderId="25" xfId="1" applyFont="1" applyFill="1" applyBorder="1" applyAlignment="1" applyProtection="1">
      <alignment shrinkToFit="1"/>
    </xf>
    <xf numFmtId="43" fontId="8" fillId="0" borderId="0" xfId="1" applyFont="1" applyFill="1" applyBorder="1" applyAlignment="1" applyProtection="1">
      <alignment shrinkToFit="1"/>
    </xf>
    <xf numFmtId="43" fontId="3" fillId="0" borderId="18" xfId="1" applyFont="1" applyFill="1" applyBorder="1" applyAlignment="1"/>
    <xf numFmtId="43" fontId="3" fillId="0" borderId="0" xfId="1" applyFont="1" applyFill="1" applyBorder="1" applyAlignment="1"/>
    <xf numFmtId="43" fontId="3" fillId="0" borderId="19" xfId="1" applyFont="1" applyFill="1" applyBorder="1" applyAlignment="1"/>
    <xf numFmtId="37" fontId="3" fillId="0" borderId="17" xfId="0" applyNumberFormat="1" applyFont="1" applyFill="1" applyBorder="1" applyAlignment="1" applyProtection="1">
      <alignment vertical="top"/>
    </xf>
    <xf numFmtId="43" fontId="3" fillId="0" borderId="26" xfId="1" applyFont="1" applyFill="1" applyBorder="1"/>
    <xf numFmtId="37" fontId="3" fillId="0" borderId="17" xfId="0" applyNumberFormat="1" applyFont="1" applyFill="1" applyBorder="1" applyAlignment="1" applyProtection="1">
      <alignment horizontal="left" vertical="top" wrapText="1"/>
    </xf>
    <xf numFmtId="0" fontId="5" fillId="0" borderId="16" xfId="0" applyFont="1" applyFill="1" applyBorder="1"/>
    <xf numFmtId="164" fontId="5" fillId="0" borderId="17" xfId="0" applyNumberFormat="1" applyFont="1" applyFill="1" applyBorder="1" applyAlignment="1" applyProtection="1">
      <alignment horizontal="center" vertical="top"/>
    </xf>
    <xf numFmtId="43" fontId="5" fillId="0" borderId="27" xfId="1" applyFont="1" applyFill="1" applyBorder="1"/>
    <xf numFmtId="10" fontId="5" fillId="0" borderId="28" xfId="2" applyNumberFormat="1" applyFont="1" applyFill="1" applyBorder="1"/>
    <xf numFmtId="0" fontId="5" fillId="0" borderId="0" xfId="0" applyFont="1" applyFill="1" applyBorder="1"/>
    <xf numFmtId="0" fontId="3" fillId="0" borderId="29" xfId="0" applyFont="1" applyFill="1" applyBorder="1"/>
    <xf numFmtId="0" fontId="3" fillId="0" borderId="30" xfId="0" applyFont="1" applyFill="1" applyBorder="1"/>
    <xf numFmtId="0" fontId="3" fillId="0" borderId="30" xfId="0" applyFont="1" applyFill="1" applyBorder="1" applyAlignment="1"/>
    <xf numFmtId="43" fontId="3" fillId="0" borderId="13" xfId="1" applyFont="1" applyFill="1" applyBorder="1"/>
    <xf numFmtId="43" fontId="3" fillId="0" borderId="1" xfId="1" applyFont="1" applyFill="1" applyBorder="1"/>
    <xf numFmtId="43" fontId="3" fillId="0" borderId="31" xfId="1" applyFont="1" applyFill="1" applyBorder="1"/>
    <xf numFmtId="43" fontId="3" fillId="0" borderId="32" xfId="1" applyFont="1" applyFill="1" applyBorder="1"/>
    <xf numFmtId="10" fontId="3" fillId="0" borderId="33" xfId="2" applyNumberFormat="1" applyFont="1" applyFill="1" applyBorder="1"/>
    <xf numFmtId="0" fontId="3" fillId="0" borderId="0" xfId="0" applyFont="1" applyFill="1" applyBorder="1" applyAlignment="1"/>
    <xf numFmtId="0" fontId="9" fillId="0" borderId="0" xfId="0" applyFont="1" applyFill="1" applyBorder="1"/>
    <xf numFmtId="0" fontId="2" fillId="0" borderId="0" xfId="0" applyFont="1" applyFill="1" applyBorder="1"/>
    <xf numFmtId="164" fontId="3" fillId="2" borderId="17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16" xfId="0" applyFont="1" applyFill="1" applyBorder="1" applyAlignment="1">
      <alignment vertical="top"/>
    </xf>
    <xf numFmtId="164" fontId="3" fillId="0" borderId="16" xfId="0" applyNumberFormat="1" applyFont="1" applyFill="1" applyBorder="1" applyAlignment="1" applyProtection="1">
      <alignment vertical="top"/>
    </xf>
    <xf numFmtId="10" fontId="5" fillId="0" borderId="21" xfId="2" applyNumberFormat="1" applyFont="1" applyFill="1" applyBorder="1"/>
    <xf numFmtId="164" fontId="3" fillId="0" borderId="16" xfId="0" applyNumberFormat="1" applyFont="1" applyFill="1" applyBorder="1" applyAlignment="1" applyProtection="1">
      <alignment vertical="top" wrapText="1"/>
    </xf>
    <xf numFmtId="164" fontId="3" fillId="0" borderId="16" xfId="0" applyNumberFormat="1" applyFont="1" applyFill="1" applyBorder="1" applyAlignment="1" applyProtection="1">
      <alignment horizontal="left" vertical="top" wrapText="1"/>
    </xf>
    <xf numFmtId="43" fontId="3" fillId="0" borderId="36" xfId="1" applyFont="1" applyFill="1" applyBorder="1"/>
    <xf numFmtId="0" fontId="3" fillId="0" borderId="29" xfId="0" applyFont="1" applyFill="1" applyBorder="1" applyAlignment="1"/>
    <xf numFmtId="164" fontId="5" fillId="0" borderId="16" xfId="0" applyNumberFormat="1" applyFont="1" applyFill="1" applyBorder="1" applyAlignment="1" applyProtection="1">
      <alignment horizontal="center" vertical="top"/>
    </xf>
    <xf numFmtId="0" fontId="13" fillId="0" borderId="16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43" fontId="21" fillId="0" borderId="0" xfId="1" applyFont="1"/>
    <xf numFmtId="43" fontId="18" fillId="0" borderId="0" xfId="1" applyFont="1"/>
    <xf numFmtId="0" fontId="22" fillId="0" borderId="18" xfId="0" applyNumberFormat="1" applyFont="1" applyFill="1" applyBorder="1" applyAlignment="1" applyProtection="1">
      <alignment horizontal="center" vertical="center"/>
    </xf>
    <xf numFmtId="0" fontId="23" fillId="0" borderId="18" xfId="0" applyNumberFormat="1" applyFont="1" applyFill="1" applyBorder="1" applyAlignment="1" applyProtection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43" fontId="25" fillId="0" borderId="0" xfId="1" applyFont="1"/>
    <xf numFmtId="43" fontId="1" fillId="0" borderId="0" xfId="1" applyFont="1"/>
    <xf numFmtId="165" fontId="26" fillId="0" borderId="18" xfId="1" applyNumberFormat="1" applyFont="1" applyFill="1" applyBorder="1" applyAlignment="1">
      <alignment horizontal="left"/>
    </xf>
    <xf numFmtId="0" fontId="27" fillId="0" borderId="18" xfId="0" applyNumberFormat="1" applyFont="1" applyFill="1" applyBorder="1" applyAlignment="1" applyProtection="1">
      <alignment horizontal="center"/>
    </xf>
    <xf numFmtId="16" fontId="0" fillId="0" borderId="18" xfId="0" applyNumberFormat="1" applyBorder="1"/>
    <xf numFmtId="0" fontId="28" fillId="0" borderId="0" xfId="0" applyFont="1" applyBorder="1" applyAlignment="1">
      <alignment horizontal="center"/>
    </xf>
    <xf numFmtId="0" fontId="27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43" fontId="25" fillId="0" borderId="0" xfId="1" applyFont="1" applyFill="1"/>
    <xf numFmtId="43" fontId="1" fillId="0" borderId="0" xfId="1" applyFont="1" applyFill="1"/>
    <xf numFmtId="0" fontId="0" fillId="0" borderId="18" xfId="0" applyBorder="1"/>
    <xf numFmtId="0" fontId="15" fillId="0" borderId="18" xfId="0" applyFont="1" applyBorder="1" applyAlignment="1">
      <alignment horizontal="center"/>
    </xf>
    <xf numFmtId="16" fontId="0" fillId="0" borderId="18" xfId="0" applyNumberFormat="1" applyFill="1" applyBorder="1"/>
    <xf numFmtId="0" fontId="28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 wrapText="1"/>
    </xf>
    <xf numFmtId="43" fontId="28" fillId="0" borderId="0" xfId="1" applyFont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165" fontId="26" fillId="0" borderId="0" xfId="1" applyNumberFormat="1" applyFont="1" applyFill="1" applyBorder="1" applyAlignment="1">
      <alignment horizontal="left"/>
    </xf>
    <xf numFmtId="0" fontId="29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65" fontId="26" fillId="0" borderId="0" xfId="1" applyNumberFormat="1" applyFont="1" applyFill="1" applyBorder="1" applyAlignment="1" applyProtection="1">
      <alignment horizontal="left"/>
    </xf>
    <xf numFmtId="43" fontId="30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/>
    <xf numFmtId="9" fontId="17" fillId="0" borderId="0" xfId="2" applyNumberFormat="1" applyFont="1" applyFill="1" applyBorder="1" applyAlignment="1" applyProtection="1">
      <alignment horizontal="center"/>
    </xf>
    <xf numFmtId="10" fontId="17" fillId="0" borderId="0" xfId="2" applyNumberFormat="1" applyFont="1" applyAlignment="1">
      <alignment horizontal="center"/>
    </xf>
    <xf numFmtId="43" fontId="31" fillId="0" borderId="0" xfId="1" applyFont="1"/>
    <xf numFmtId="0" fontId="32" fillId="0" borderId="0" xfId="0" applyNumberFormat="1" applyFont="1" applyFill="1" applyBorder="1" applyAlignment="1" applyProtection="1"/>
    <xf numFmtId="0" fontId="15" fillId="0" borderId="0" xfId="0" applyFont="1" applyAlignment="1">
      <alignment horizontal="center"/>
    </xf>
    <xf numFmtId="165" fontId="26" fillId="3" borderId="18" xfId="1" applyNumberFormat="1" applyFont="1" applyFill="1" applyBorder="1" applyAlignment="1">
      <alignment horizontal="left"/>
    </xf>
    <xf numFmtId="0" fontId="27" fillId="3" borderId="18" xfId="0" applyNumberFormat="1" applyFont="1" applyFill="1" applyBorder="1" applyAlignment="1" applyProtection="1">
      <alignment horizontal="center"/>
    </xf>
    <xf numFmtId="0" fontId="0" fillId="3" borderId="0" xfId="0" applyFill="1"/>
    <xf numFmtId="0" fontId="28" fillId="3" borderId="0" xfId="0" applyFont="1" applyFill="1" applyBorder="1" applyAlignment="1">
      <alignment horizontal="center"/>
    </xf>
    <xf numFmtId="43" fontId="25" fillId="3" borderId="0" xfId="1" applyFont="1" applyFill="1"/>
    <xf numFmtId="43" fontId="1" fillId="3" borderId="0" xfId="1" applyFont="1" applyFill="1"/>
    <xf numFmtId="43" fontId="0" fillId="0" borderId="18" xfId="1" applyFont="1" applyBorder="1"/>
    <xf numFmtId="43" fontId="34" fillId="0" borderId="0" xfId="4" applyFont="1" applyFill="1" applyBorder="1" applyAlignment="1" applyProtection="1">
      <alignment vertical="center"/>
    </xf>
    <xf numFmtId="43" fontId="36" fillId="0" borderId="18" xfId="1" applyFont="1" applyFill="1" applyBorder="1"/>
    <xf numFmtId="43" fontId="36" fillId="0" borderId="19" xfId="1" applyFont="1" applyFill="1" applyBorder="1"/>
    <xf numFmtId="43" fontId="28" fillId="0" borderId="0" xfId="0" applyNumberFormat="1" applyFont="1" applyFill="1" applyBorder="1" applyAlignment="1">
      <alignment horizontal="center"/>
    </xf>
    <xf numFmtId="4" fontId="37" fillId="0" borderId="0" xfId="0" applyNumberFormat="1" applyFont="1"/>
    <xf numFmtId="4" fontId="38" fillId="0" borderId="0" xfId="0" applyNumberFormat="1" applyFont="1"/>
    <xf numFmtId="43" fontId="39" fillId="0" borderId="0" xfId="1" applyFont="1" applyFill="1" applyBorder="1"/>
    <xf numFmtId="10" fontId="3" fillId="0" borderId="10" xfId="2" applyNumberFormat="1" applyFont="1" applyFill="1" applyBorder="1" applyAlignment="1">
      <alignment horizontal="center" vertical="center" wrapText="1"/>
    </xf>
    <xf numFmtId="10" fontId="3" fillId="0" borderId="15" xfId="2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37" fontId="3" fillId="0" borderId="3" xfId="0" applyNumberFormat="1" applyFont="1" applyFill="1" applyBorder="1" applyAlignment="1" applyProtection="1">
      <alignment horizontal="center" vertical="center"/>
    </xf>
    <xf numFmtId="37" fontId="3" fillId="0" borderId="4" xfId="0" applyNumberFormat="1" applyFont="1" applyFill="1" applyBorder="1" applyAlignment="1" applyProtection="1">
      <alignment horizontal="center" vertical="center"/>
    </xf>
    <xf numFmtId="37" fontId="3" fillId="0" borderId="11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center" vertical="center"/>
    </xf>
    <xf numFmtId="37" fontId="3" fillId="0" borderId="12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7" fontId="3" fillId="0" borderId="34" xfId="0" applyNumberFormat="1" applyFont="1" applyFill="1" applyBorder="1" applyAlignment="1" applyProtection="1">
      <alignment horizontal="center" vertical="center"/>
    </xf>
    <xf numFmtId="37" fontId="3" fillId="0" borderId="35" xfId="0" applyNumberFormat="1" applyFont="1" applyFill="1" applyBorder="1" applyAlignment="1" applyProtection="1">
      <alignment horizontal="center" vertical="center"/>
    </xf>
  </cellXfs>
  <cellStyles count="5">
    <cellStyle name="Comma" xfId="1" builtinId="3"/>
    <cellStyle name="Comma 2" xfId="4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4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4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4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4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4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4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4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4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4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1171575</xdr:colOff>
      <xdr:row>0</xdr:row>
      <xdr:rowOff>0</xdr:rowOff>
    </xdr:from>
    <xdr:to>
      <xdr:col>6</xdr:col>
      <xdr:colOff>428625</xdr:colOff>
      <xdr:row>2</xdr:row>
      <xdr:rowOff>9525</xdr:rowOff>
    </xdr:to>
    <xdr:pic>
      <xdr:nvPicPr>
        <xdr:cNvPr id="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%20Users\Documents\mds-2014\mds%20utilization%20jan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DS utilization"/>
      <sheetName val="with %"/>
      <sheetName val="checklist"/>
      <sheetName val="analysis"/>
      <sheetName val="jan"/>
      <sheetName val="jan-MDS Regular"/>
      <sheetName val="jan-MDS Regular (2)"/>
    </sheetNames>
    <sheetDataSet>
      <sheetData sheetId="0"/>
      <sheetData sheetId="1">
        <row r="8">
          <cell r="F8">
            <v>257463200</v>
          </cell>
        </row>
        <row r="139">
          <cell r="R139">
            <v>2210312142.9000001</v>
          </cell>
          <cell r="S139">
            <v>1660948114.3300002</v>
          </cell>
          <cell r="T139">
            <v>549364028.57000005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149"/>
  <sheetViews>
    <sheetView zoomScale="75" zoomScaleNormal="75" workbookViewId="0">
      <pane xSplit="5" ySplit="6" topLeftCell="F81" activePane="bottomRight" state="frozen"/>
      <selection pane="topRight" activeCell="F1" sqref="F1"/>
      <selection pane="bottomLeft" activeCell="A7" sqref="A7"/>
      <selection pane="bottomRight" activeCell="E87" sqref="E87"/>
    </sheetView>
  </sheetViews>
  <sheetFormatPr defaultRowHeight="24.95" customHeight="1"/>
  <cols>
    <col min="1" max="4" width="2.7109375" style="2" customWidth="1"/>
    <col min="5" max="5" width="50.5703125" style="57" customWidth="1"/>
    <col min="6" max="7" width="19.28515625" style="2" customWidth="1"/>
    <col min="8" max="8" width="18.5703125" style="2" customWidth="1"/>
    <col min="9" max="9" width="0.7109375" style="2" customWidth="1"/>
    <col min="10" max="10" width="24" style="2" bestFit="1" customWidth="1"/>
    <col min="11" max="11" width="18.7109375" style="2" bestFit="1" customWidth="1"/>
    <col min="12" max="12" width="19.42578125" style="2" bestFit="1" customWidth="1"/>
    <col min="13" max="13" width="0.5703125" style="2" customWidth="1"/>
    <col min="14" max="15" width="18.7109375" style="2" bestFit="1" customWidth="1"/>
    <col min="16" max="16" width="16.5703125" style="2" customWidth="1"/>
    <col min="17" max="17" width="0.7109375" style="2" customWidth="1"/>
    <col min="18" max="19" width="19.85546875" style="2" bestFit="1" customWidth="1"/>
    <col min="20" max="20" width="18.7109375" style="2" bestFit="1" customWidth="1"/>
    <col min="21" max="21" width="14.5703125" style="1" customWidth="1"/>
    <col min="22" max="22" width="9.140625" style="2"/>
    <col min="23" max="23" width="13.140625" style="2" bestFit="1" customWidth="1"/>
    <col min="24" max="16384" width="9.140625" style="2"/>
  </cols>
  <sheetData>
    <row r="1" spans="2:21" ht="18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2:21" ht="20.25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21" ht="18">
      <c r="B3" s="131" t="s">
        <v>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1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2:21" ht="24.95" customHeight="1">
      <c r="B5" s="134" t="s">
        <v>3</v>
      </c>
      <c r="C5" s="135"/>
      <c r="D5" s="135"/>
      <c r="E5" s="136"/>
      <c r="F5" s="140" t="s">
        <v>4</v>
      </c>
      <c r="G5" s="141"/>
      <c r="H5" s="142"/>
      <c r="I5" s="3"/>
      <c r="J5" s="140" t="s">
        <v>5</v>
      </c>
      <c r="K5" s="141"/>
      <c r="L5" s="142"/>
      <c r="M5" s="4"/>
      <c r="N5" s="140" t="s">
        <v>6</v>
      </c>
      <c r="O5" s="141"/>
      <c r="P5" s="142"/>
      <c r="Q5" s="3"/>
      <c r="R5" s="140" t="s">
        <v>7</v>
      </c>
      <c r="S5" s="141"/>
      <c r="T5" s="143"/>
      <c r="U5" s="127" t="s">
        <v>8</v>
      </c>
    </row>
    <row r="6" spans="2:21" s="8" customFormat="1" ht="28.5" customHeight="1" thickBot="1">
      <c r="B6" s="137"/>
      <c r="C6" s="138"/>
      <c r="D6" s="138"/>
      <c r="E6" s="139"/>
      <c r="F6" s="5" t="s">
        <v>9</v>
      </c>
      <c r="G6" s="6" t="s">
        <v>10</v>
      </c>
      <c r="H6" s="5" t="s">
        <v>11</v>
      </c>
      <c r="I6" s="6"/>
      <c r="J6" s="5" t="s">
        <v>12</v>
      </c>
      <c r="K6" s="6" t="s">
        <v>10</v>
      </c>
      <c r="L6" s="5" t="s">
        <v>11</v>
      </c>
      <c r="M6" s="5"/>
      <c r="N6" s="5" t="s">
        <v>9</v>
      </c>
      <c r="O6" s="6" t="s">
        <v>10</v>
      </c>
      <c r="P6" s="5" t="s">
        <v>11</v>
      </c>
      <c r="Q6" s="5"/>
      <c r="R6" s="6" t="s">
        <v>13</v>
      </c>
      <c r="S6" s="6" t="s">
        <v>10</v>
      </c>
      <c r="T6" s="7" t="s">
        <v>11</v>
      </c>
      <c r="U6" s="128"/>
    </row>
    <row r="7" spans="2:21" ht="24.95" customHeight="1">
      <c r="B7" s="9"/>
      <c r="C7" s="10"/>
      <c r="D7" s="10"/>
      <c r="E7" s="11"/>
      <c r="F7" s="12"/>
      <c r="G7" s="12"/>
      <c r="H7" s="12"/>
      <c r="I7" s="13"/>
      <c r="J7" s="12"/>
      <c r="K7" s="12"/>
      <c r="L7" s="12"/>
      <c r="M7" s="12"/>
      <c r="N7" s="12"/>
      <c r="O7" s="12"/>
      <c r="P7" s="12"/>
      <c r="Q7" s="13"/>
      <c r="R7" s="12"/>
      <c r="S7" s="12"/>
      <c r="T7" s="14"/>
      <c r="U7" s="15"/>
    </row>
    <row r="8" spans="2:21" ht="24.95" customHeight="1">
      <c r="B8" s="9" t="s">
        <v>14</v>
      </c>
      <c r="C8" s="10"/>
      <c r="D8" s="10"/>
      <c r="E8" s="11"/>
      <c r="F8" s="12">
        <f>267176000-9712800</f>
        <v>257463200</v>
      </c>
      <c r="G8" s="12">
        <v>257355417.69999999</v>
      </c>
      <c r="H8" s="12">
        <f>+F8-G8</f>
        <v>107782.30000001192</v>
      </c>
      <c r="I8" s="13"/>
      <c r="J8" s="12"/>
      <c r="K8" s="12"/>
      <c r="L8" s="12">
        <f>+J8-K8</f>
        <v>0</v>
      </c>
      <c r="M8" s="12"/>
      <c r="N8" s="12">
        <v>5475213</v>
      </c>
      <c r="O8" s="12"/>
      <c r="P8" s="12">
        <f>+N8-O8</f>
        <v>5475213</v>
      </c>
      <c r="Q8" s="16"/>
      <c r="R8" s="12">
        <f>+F8+J8+N8</f>
        <v>262938413</v>
      </c>
      <c r="S8" s="12">
        <f>+G8+K8+O8</f>
        <v>257355417.69999999</v>
      </c>
      <c r="T8" s="14">
        <f>+R8-S8</f>
        <v>5582995.3000000119</v>
      </c>
      <c r="U8" s="17">
        <f>+S8/R8</f>
        <v>0.97876690881221673</v>
      </c>
    </row>
    <row r="9" spans="2:21" ht="24.95" customHeight="1">
      <c r="B9" s="18"/>
      <c r="C9" s="10"/>
      <c r="D9" s="10"/>
      <c r="E9" s="19"/>
      <c r="F9" s="12"/>
      <c r="G9" s="12"/>
      <c r="H9" s="12">
        <f>+F9-G9</f>
        <v>0</v>
      </c>
      <c r="I9" s="13"/>
      <c r="J9" s="12"/>
      <c r="K9" s="12"/>
      <c r="L9" s="12">
        <f>+J9-K9</f>
        <v>0</v>
      </c>
      <c r="M9" s="12"/>
      <c r="N9" s="12"/>
      <c r="O9" s="12"/>
      <c r="P9" s="12">
        <f>+N9-O9</f>
        <v>0</v>
      </c>
      <c r="Q9" s="13"/>
      <c r="R9" s="12"/>
      <c r="S9" s="12"/>
      <c r="T9" s="14"/>
      <c r="U9" s="17"/>
    </row>
    <row r="10" spans="2:21" ht="24.95" customHeight="1">
      <c r="B10" s="9" t="s">
        <v>15</v>
      </c>
      <c r="C10" s="10"/>
      <c r="D10" s="10"/>
      <c r="E10" s="11"/>
      <c r="F10" s="12"/>
      <c r="G10" s="12"/>
      <c r="H10" s="12"/>
      <c r="I10" s="13"/>
      <c r="J10" s="12"/>
      <c r="K10" s="12"/>
      <c r="L10" s="12"/>
      <c r="M10" s="12"/>
      <c r="N10" s="12"/>
      <c r="O10" s="12"/>
      <c r="P10" s="12"/>
      <c r="Q10" s="13"/>
      <c r="R10" s="12"/>
      <c r="S10" s="12"/>
      <c r="T10" s="14"/>
      <c r="U10" s="17"/>
    </row>
    <row r="11" spans="2:21" ht="30" customHeight="1">
      <c r="B11" s="9"/>
      <c r="C11" s="129" t="s">
        <v>16</v>
      </c>
      <c r="D11" s="129"/>
      <c r="E11" s="130"/>
      <c r="F11" s="12">
        <f>SUM(F13:F46)</f>
        <v>701561799.89999998</v>
      </c>
      <c r="G11" s="12">
        <f t="shared" ref="G11:T11" si="0">SUM(G13:G46)</f>
        <v>512990867.99000001</v>
      </c>
      <c r="H11" s="12">
        <f t="shared" si="0"/>
        <v>188570931.90999997</v>
      </c>
      <c r="I11" s="12">
        <f t="shared" si="0"/>
        <v>2208000</v>
      </c>
      <c r="J11" s="12">
        <f>SUM(J13:J46)</f>
        <v>0</v>
      </c>
      <c r="K11" s="12">
        <f>SUM(K13:K46)</f>
        <v>0</v>
      </c>
      <c r="L11" s="12">
        <f>SUM(L13:L46)</f>
        <v>0</v>
      </c>
      <c r="M11" s="12">
        <f t="shared" si="0"/>
        <v>0</v>
      </c>
      <c r="N11" s="12">
        <f>SUM(N13:N46)</f>
        <v>1796400</v>
      </c>
      <c r="O11" s="12">
        <f>SUM(O13:O46)</f>
        <v>0</v>
      </c>
      <c r="P11" s="12">
        <f>SUM(P13:P46)</f>
        <v>1796400</v>
      </c>
      <c r="Q11" s="12">
        <f t="shared" si="0"/>
        <v>0</v>
      </c>
      <c r="R11" s="12">
        <f t="shared" si="0"/>
        <v>703358199.89999998</v>
      </c>
      <c r="S11" s="12">
        <f t="shared" si="0"/>
        <v>512990867.99000001</v>
      </c>
      <c r="T11" s="14">
        <f t="shared" si="0"/>
        <v>190367331.90999997</v>
      </c>
      <c r="U11" s="17">
        <f>+S11/R11</f>
        <v>0.72934511613418962</v>
      </c>
    </row>
    <row r="12" spans="2:21" ht="24.95" customHeight="1">
      <c r="B12" s="18"/>
      <c r="C12" s="20" t="s">
        <v>17</v>
      </c>
      <c r="D12" s="20"/>
      <c r="E12" s="10"/>
      <c r="F12" s="12"/>
      <c r="G12" s="12"/>
      <c r="H12" s="12">
        <f t="shared" ref="H12:H17" si="1">+F12-G12</f>
        <v>0</v>
      </c>
      <c r="I12" s="13"/>
      <c r="J12" s="12"/>
      <c r="K12" s="12"/>
      <c r="L12" s="12">
        <f t="shared" ref="L12:L17" si="2">+J12-K12</f>
        <v>0</v>
      </c>
      <c r="M12" s="12"/>
      <c r="N12" s="12"/>
      <c r="O12" s="12"/>
      <c r="P12" s="12">
        <f t="shared" ref="P12:P17" si="3">+N12-O12</f>
        <v>0</v>
      </c>
      <c r="Q12" s="13"/>
      <c r="R12" s="12"/>
      <c r="S12" s="12"/>
      <c r="T12" s="14"/>
      <c r="U12" s="17"/>
    </row>
    <row r="13" spans="2:21" ht="24.95" customHeight="1">
      <c r="B13" s="18"/>
      <c r="C13" s="20"/>
      <c r="D13" s="20"/>
      <c r="E13" s="10" t="s">
        <v>18</v>
      </c>
      <c r="F13" s="12">
        <v>22537477</v>
      </c>
      <c r="G13" s="12">
        <v>18496744.359999999</v>
      </c>
      <c r="H13" s="12">
        <f t="shared" si="1"/>
        <v>4040732.6400000006</v>
      </c>
      <c r="I13" s="13"/>
      <c r="J13" s="12"/>
      <c r="K13" s="12"/>
      <c r="L13" s="12">
        <f t="shared" si="2"/>
        <v>0</v>
      </c>
      <c r="M13" s="12"/>
      <c r="N13" s="12"/>
      <c r="O13" s="12"/>
      <c r="P13" s="12">
        <f t="shared" si="3"/>
        <v>0</v>
      </c>
      <c r="Q13" s="13"/>
      <c r="R13" s="12">
        <f t="shared" ref="R13:S17" si="4">+F13+J13+N13</f>
        <v>22537477</v>
      </c>
      <c r="S13" s="12">
        <f t="shared" si="4"/>
        <v>18496744.359999999</v>
      </c>
      <c r="T13" s="14">
        <f>+R13-S13</f>
        <v>4040732.6400000006</v>
      </c>
      <c r="U13" s="17">
        <f t="shared" ref="U13:U72" si="5">+S13/R13</f>
        <v>0.82071051520096949</v>
      </c>
    </row>
    <row r="14" spans="2:21" ht="24.95" customHeight="1">
      <c r="B14" s="18"/>
      <c r="C14" s="10"/>
      <c r="D14" s="10"/>
      <c r="E14" s="21" t="s">
        <v>19</v>
      </c>
      <c r="F14" s="12">
        <v>6764000</v>
      </c>
      <c r="G14" s="12">
        <v>5106813.18</v>
      </c>
      <c r="H14" s="12">
        <f t="shared" si="1"/>
        <v>1657186.8200000003</v>
      </c>
      <c r="I14" s="13"/>
      <c r="J14" s="12"/>
      <c r="K14" s="12"/>
      <c r="L14" s="12">
        <f t="shared" si="2"/>
        <v>0</v>
      </c>
      <c r="M14" s="12"/>
      <c r="N14" s="12"/>
      <c r="O14" s="12"/>
      <c r="P14" s="12">
        <f t="shared" si="3"/>
        <v>0</v>
      </c>
      <c r="Q14" s="13"/>
      <c r="R14" s="12">
        <f t="shared" si="4"/>
        <v>6764000</v>
      </c>
      <c r="S14" s="12">
        <f t="shared" si="4"/>
        <v>5106813.18</v>
      </c>
      <c r="T14" s="14">
        <f>+R14-S14</f>
        <v>1657186.8200000003</v>
      </c>
      <c r="U14" s="17">
        <f t="shared" si="5"/>
        <v>0.75499899172087515</v>
      </c>
    </row>
    <row r="15" spans="2:21" ht="27" customHeight="1">
      <c r="B15" s="18"/>
      <c r="C15" s="10"/>
      <c r="D15" s="10"/>
      <c r="E15" s="21" t="s">
        <v>20</v>
      </c>
      <c r="F15" s="12">
        <v>6185000</v>
      </c>
      <c r="G15" s="12">
        <v>5964944.21</v>
      </c>
      <c r="H15" s="12">
        <f t="shared" si="1"/>
        <v>220055.79000000004</v>
      </c>
      <c r="I15" s="13"/>
      <c r="J15" s="12"/>
      <c r="K15" s="12"/>
      <c r="L15" s="12">
        <f t="shared" si="2"/>
        <v>0</v>
      </c>
      <c r="M15" s="12"/>
      <c r="N15" s="12"/>
      <c r="O15" s="12"/>
      <c r="P15" s="12">
        <f t="shared" si="3"/>
        <v>0</v>
      </c>
      <c r="Q15" s="13"/>
      <c r="R15" s="12">
        <f t="shared" si="4"/>
        <v>6185000</v>
      </c>
      <c r="S15" s="12">
        <f t="shared" si="4"/>
        <v>5964944.21</v>
      </c>
      <c r="T15" s="14">
        <f>+R15-S15</f>
        <v>220055.79000000004</v>
      </c>
      <c r="U15" s="17">
        <f t="shared" si="5"/>
        <v>0.96442105254648347</v>
      </c>
    </row>
    <row r="16" spans="2:21" ht="27" customHeight="1">
      <c r="B16" s="18"/>
      <c r="C16" s="10"/>
      <c r="D16" s="10"/>
      <c r="E16" s="22" t="s">
        <v>21</v>
      </c>
      <c r="F16" s="12">
        <v>1228000</v>
      </c>
      <c r="G16" s="12">
        <v>964137.37</v>
      </c>
      <c r="H16" s="12">
        <f t="shared" si="1"/>
        <v>263862.63</v>
      </c>
      <c r="I16" s="13"/>
      <c r="J16" s="12"/>
      <c r="K16" s="12"/>
      <c r="L16" s="12">
        <f t="shared" si="2"/>
        <v>0</v>
      </c>
      <c r="M16" s="12"/>
      <c r="N16" s="12"/>
      <c r="O16" s="12"/>
      <c r="P16" s="12">
        <f t="shared" si="3"/>
        <v>0</v>
      </c>
      <c r="Q16" s="13"/>
      <c r="R16" s="12">
        <f t="shared" si="4"/>
        <v>1228000</v>
      </c>
      <c r="S16" s="12">
        <f t="shared" si="4"/>
        <v>964137.37</v>
      </c>
      <c r="T16" s="14">
        <f>+R16-S16</f>
        <v>263862.63</v>
      </c>
      <c r="U16" s="17">
        <f t="shared" si="5"/>
        <v>0.78512815146579806</v>
      </c>
    </row>
    <row r="17" spans="2:21" ht="27" customHeight="1">
      <c r="B17" s="18"/>
      <c r="C17" s="10"/>
      <c r="D17" s="10"/>
      <c r="E17" s="21" t="s">
        <v>22</v>
      </c>
      <c r="F17" s="12">
        <v>6168000</v>
      </c>
      <c r="G17" s="12">
        <v>6166299.7999999998</v>
      </c>
      <c r="H17" s="12">
        <f t="shared" si="1"/>
        <v>1700.2000000001863</v>
      </c>
      <c r="I17" s="13"/>
      <c r="J17" s="12"/>
      <c r="K17" s="12"/>
      <c r="L17" s="12">
        <f t="shared" si="2"/>
        <v>0</v>
      </c>
      <c r="M17" s="12"/>
      <c r="N17" s="12"/>
      <c r="O17" s="12"/>
      <c r="P17" s="12">
        <f t="shared" si="3"/>
        <v>0</v>
      </c>
      <c r="Q17" s="13"/>
      <c r="R17" s="12">
        <f t="shared" si="4"/>
        <v>6168000</v>
      </c>
      <c r="S17" s="12">
        <f t="shared" si="4"/>
        <v>6166299.7999999998</v>
      </c>
      <c r="T17" s="14">
        <f>+R17-S17</f>
        <v>1700.2000000001863</v>
      </c>
      <c r="U17" s="17">
        <f t="shared" si="5"/>
        <v>0.99972435149156935</v>
      </c>
    </row>
    <row r="18" spans="2:21" ht="24.95" customHeight="1">
      <c r="B18" s="18"/>
      <c r="C18" s="10"/>
      <c r="D18" s="10"/>
      <c r="E18" s="21"/>
      <c r="F18" s="12"/>
      <c r="G18" s="12"/>
      <c r="H18" s="12"/>
      <c r="I18" s="13"/>
      <c r="J18" s="12"/>
      <c r="K18" s="12"/>
      <c r="L18" s="12"/>
      <c r="M18" s="12"/>
      <c r="N18" s="12"/>
      <c r="O18" s="12"/>
      <c r="P18" s="12"/>
      <c r="Q18" s="13"/>
      <c r="R18" s="12"/>
      <c r="S18" s="12"/>
      <c r="T18" s="14"/>
      <c r="U18" s="17"/>
    </row>
    <row r="19" spans="2:21" ht="24.95" customHeight="1">
      <c r="B19" s="18"/>
      <c r="C19" s="20" t="s">
        <v>23</v>
      </c>
      <c r="D19" s="20"/>
      <c r="E19" s="10"/>
      <c r="F19" s="12"/>
      <c r="G19" s="12"/>
      <c r="H19" s="12"/>
      <c r="I19" s="13"/>
      <c r="J19" s="12"/>
      <c r="K19" s="12"/>
      <c r="L19" s="12"/>
      <c r="M19" s="12"/>
      <c r="N19" s="12"/>
      <c r="O19" s="12"/>
      <c r="P19" s="12"/>
      <c r="Q19" s="13"/>
      <c r="R19" s="12"/>
      <c r="S19" s="12"/>
      <c r="T19" s="14"/>
      <c r="U19" s="17"/>
    </row>
    <row r="20" spans="2:21" ht="24.95" customHeight="1">
      <c r="B20" s="18"/>
      <c r="C20" s="20"/>
      <c r="D20" s="20"/>
      <c r="E20" s="10" t="s">
        <v>24</v>
      </c>
      <c r="F20" s="12">
        <v>10449000</v>
      </c>
      <c r="G20" s="12">
        <v>10448821.74</v>
      </c>
      <c r="H20" s="12">
        <f>+F20-G20</f>
        <v>178.25999999977648</v>
      </c>
      <c r="I20" s="13"/>
      <c r="J20" s="12"/>
      <c r="K20" s="12"/>
      <c r="L20" s="12">
        <f>+J20-K20</f>
        <v>0</v>
      </c>
      <c r="M20" s="12"/>
      <c r="N20" s="12"/>
      <c r="O20" s="12"/>
      <c r="P20" s="12">
        <f>+N20-O20</f>
        <v>0</v>
      </c>
      <c r="Q20" s="13"/>
      <c r="R20" s="12">
        <f>+F20+J20+N20</f>
        <v>10449000</v>
      </c>
      <c r="S20" s="12">
        <f>+G20+K20+O20</f>
        <v>10448821.74</v>
      </c>
      <c r="T20" s="14">
        <f>+R20-S20</f>
        <v>178.25999999977648</v>
      </c>
      <c r="U20" s="17">
        <f t="shared" si="5"/>
        <v>0.9999829399942578</v>
      </c>
    </row>
    <row r="21" spans="2:21" ht="28.5" customHeight="1">
      <c r="B21" s="18"/>
      <c r="C21" s="10"/>
      <c r="D21" s="10"/>
      <c r="E21" s="22" t="s">
        <v>25</v>
      </c>
      <c r="F21" s="12">
        <v>15499000</v>
      </c>
      <c r="G21" s="12">
        <v>14886065.32</v>
      </c>
      <c r="H21" s="12">
        <f>+F21-G21</f>
        <v>612934.6799999997</v>
      </c>
      <c r="I21" s="13"/>
      <c r="J21" s="12"/>
      <c r="K21" s="12"/>
      <c r="L21" s="12">
        <f>+J21-K21</f>
        <v>0</v>
      </c>
      <c r="M21" s="12"/>
      <c r="N21" s="12"/>
      <c r="O21" s="12"/>
      <c r="P21" s="12">
        <f>+N21-O21</f>
        <v>0</v>
      </c>
      <c r="Q21" s="13"/>
      <c r="R21" s="12">
        <f>+F21+J21+N21</f>
        <v>15499000</v>
      </c>
      <c r="S21" s="12">
        <f>+G21+K21+O21</f>
        <v>14886065.32</v>
      </c>
      <c r="T21" s="14">
        <f>+R21-S21</f>
        <v>612934.6799999997</v>
      </c>
      <c r="U21" s="17">
        <f t="shared" si="5"/>
        <v>0.96045327569520611</v>
      </c>
    </row>
    <row r="22" spans="2:21" ht="24.95" customHeight="1">
      <c r="B22" s="18"/>
      <c r="C22" s="10"/>
      <c r="D22" s="10"/>
      <c r="E22" s="22"/>
      <c r="F22" s="12"/>
      <c r="G22" s="12"/>
      <c r="H22" s="12"/>
      <c r="I22" s="13"/>
      <c r="J22" s="12"/>
      <c r="K22" s="12"/>
      <c r="L22" s="12"/>
      <c r="M22" s="12"/>
      <c r="N22" s="12"/>
      <c r="O22" s="12"/>
      <c r="P22" s="12"/>
      <c r="Q22" s="13"/>
      <c r="R22" s="12"/>
      <c r="S22" s="12"/>
      <c r="T22" s="14"/>
      <c r="U22" s="17"/>
    </row>
    <row r="23" spans="2:21" ht="24.95" customHeight="1">
      <c r="B23" s="18"/>
      <c r="C23" s="20" t="s">
        <v>26</v>
      </c>
      <c r="D23" s="20"/>
      <c r="E23" s="10"/>
      <c r="F23" s="12"/>
      <c r="G23" s="12"/>
      <c r="H23" s="12"/>
      <c r="I23" s="13"/>
      <c r="J23" s="12"/>
      <c r="K23" s="12"/>
      <c r="L23" s="12"/>
      <c r="M23" s="12"/>
      <c r="N23" s="12"/>
      <c r="O23" s="12"/>
      <c r="P23" s="12"/>
      <c r="Q23" s="13"/>
      <c r="R23" s="12"/>
      <c r="S23" s="12"/>
      <c r="T23" s="14"/>
      <c r="U23" s="17"/>
    </row>
    <row r="24" spans="2:21" ht="24.95" customHeight="1">
      <c r="B24" s="18"/>
      <c r="C24" s="20"/>
      <c r="D24" s="20"/>
      <c r="E24" s="10" t="s">
        <v>27</v>
      </c>
      <c r="F24" s="12">
        <v>26745000</v>
      </c>
      <c r="G24" s="12">
        <v>23180896.420000002</v>
      </c>
      <c r="H24" s="12">
        <f>+F24-G24</f>
        <v>3564103.5799999982</v>
      </c>
      <c r="I24" s="13"/>
      <c r="J24" s="12"/>
      <c r="K24" s="12"/>
      <c r="L24" s="12">
        <f>+J24-K24</f>
        <v>0</v>
      </c>
      <c r="M24" s="12"/>
      <c r="N24" s="12"/>
      <c r="O24" s="12"/>
      <c r="P24" s="12">
        <f>+N24-O24</f>
        <v>0</v>
      </c>
      <c r="Q24" s="13"/>
      <c r="R24" s="12">
        <f t="shared" ref="R24:S26" si="6">+F24+J24+N24</f>
        <v>26745000</v>
      </c>
      <c r="S24" s="12">
        <f t="shared" si="6"/>
        <v>23180896.420000002</v>
      </c>
      <c r="T24" s="14">
        <f>+R24-S24</f>
        <v>3564103.5799999982</v>
      </c>
      <c r="U24" s="17">
        <f t="shared" si="5"/>
        <v>0.86673757412600494</v>
      </c>
    </row>
    <row r="25" spans="2:21" ht="27.75" customHeight="1">
      <c r="B25" s="18"/>
      <c r="C25" s="10"/>
      <c r="D25" s="10"/>
      <c r="E25" s="22" t="s">
        <v>28</v>
      </c>
      <c r="F25" s="12">
        <v>8423000</v>
      </c>
      <c r="G25" s="12">
        <v>4646415.58</v>
      </c>
      <c r="H25" s="12">
        <f>+F25-G25</f>
        <v>3776584.42</v>
      </c>
      <c r="I25" s="13"/>
      <c r="J25" s="12"/>
      <c r="K25" s="12"/>
      <c r="L25" s="12">
        <f>+J25-K25</f>
        <v>0</v>
      </c>
      <c r="M25" s="12"/>
      <c r="N25" s="12"/>
      <c r="O25" s="12"/>
      <c r="P25" s="12">
        <f>+N25-O25</f>
        <v>0</v>
      </c>
      <c r="Q25" s="13"/>
      <c r="R25" s="12">
        <f t="shared" si="6"/>
        <v>8423000</v>
      </c>
      <c r="S25" s="12">
        <f t="shared" si="6"/>
        <v>4646415.58</v>
      </c>
      <c r="T25" s="14">
        <f>+R25-S25</f>
        <v>3776584.42</v>
      </c>
      <c r="U25" s="17">
        <f t="shared" si="5"/>
        <v>0.55163428469666387</v>
      </c>
    </row>
    <row r="26" spans="2:21" ht="27.75" customHeight="1">
      <c r="B26" s="18"/>
      <c r="C26" s="10"/>
      <c r="D26" s="10"/>
      <c r="E26" s="22" t="s">
        <v>29</v>
      </c>
      <c r="F26" s="12">
        <v>3866000</v>
      </c>
      <c r="G26" s="12">
        <v>2313485.39</v>
      </c>
      <c r="H26" s="12">
        <f>+F26-G26</f>
        <v>1552514.6099999999</v>
      </c>
      <c r="I26" s="13"/>
      <c r="J26" s="12"/>
      <c r="K26" s="12"/>
      <c r="L26" s="12">
        <f>+J26-K26</f>
        <v>0</v>
      </c>
      <c r="M26" s="12"/>
      <c r="N26" s="12"/>
      <c r="O26" s="12"/>
      <c r="P26" s="12">
        <f>+N26-O26</f>
        <v>0</v>
      </c>
      <c r="Q26" s="13"/>
      <c r="R26" s="12">
        <f t="shared" si="6"/>
        <v>3866000</v>
      </c>
      <c r="S26" s="12">
        <f t="shared" si="6"/>
        <v>2313485.39</v>
      </c>
      <c r="T26" s="14">
        <f>+R26-S26</f>
        <v>1552514.6099999999</v>
      </c>
      <c r="U26" s="17">
        <f t="shared" si="5"/>
        <v>0.5984183626487326</v>
      </c>
    </row>
    <row r="27" spans="2:21" ht="24.95" customHeight="1">
      <c r="B27" s="18"/>
      <c r="C27" s="10"/>
      <c r="D27" s="10"/>
      <c r="E27" s="22"/>
      <c r="F27" s="12"/>
      <c r="G27" s="12"/>
      <c r="H27" s="12"/>
      <c r="I27" s="13"/>
      <c r="J27" s="12"/>
      <c r="K27" s="12"/>
      <c r="L27" s="12"/>
      <c r="M27" s="12"/>
      <c r="N27" s="12"/>
      <c r="O27" s="12"/>
      <c r="P27" s="12"/>
      <c r="Q27" s="13"/>
      <c r="R27" s="12"/>
      <c r="S27" s="12"/>
      <c r="T27" s="14"/>
      <c r="U27" s="17"/>
    </row>
    <row r="28" spans="2:21" ht="24.95" customHeight="1">
      <c r="B28" s="18"/>
      <c r="C28" s="20" t="s">
        <v>30</v>
      </c>
      <c r="D28" s="20"/>
      <c r="E28" s="10"/>
      <c r="F28" s="12"/>
      <c r="G28" s="12"/>
      <c r="H28" s="12"/>
      <c r="I28" s="13"/>
      <c r="J28" s="12"/>
      <c r="K28" s="12"/>
      <c r="L28" s="12"/>
      <c r="M28" s="12"/>
      <c r="N28" s="12"/>
      <c r="O28" s="12"/>
      <c r="P28" s="12"/>
      <c r="Q28" s="13"/>
      <c r="R28" s="12"/>
      <c r="S28" s="12"/>
      <c r="T28" s="14"/>
      <c r="U28" s="17"/>
    </row>
    <row r="29" spans="2:21" ht="24.95" customHeight="1">
      <c r="B29" s="18"/>
      <c r="C29" s="20"/>
      <c r="D29" s="20"/>
      <c r="E29" s="10" t="s">
        <v>31</v>
      </c>
      <c r="F29" s="23">
        <v>42390165</v>
      </c>
      <c r="G29" s="23">
        <v>16964075.920000002</v>
      </c>
      <c r="H29" s="12">
        <f>+F29-G29</f>
        <v>25426089.079999998</v>
      </c>
      <c r="I29" s="13"/>
      <c r="J29" s="23"/>
      <c r="K29" s="23"/>
      <c r="L29" s="12">
        <f>+J29-K29</f>
        <v>0</v>
      </c>
      <c r="M29" s="12"/>
      <c r="N29" s="23"/>
      <c r="O29" s="23"/>
      <c r="P29" s="12">
        <f>+N29-O29</f>
        <v>0</v>
      </c>
      <c r="Q29" s="13"/>
      <c r="R29" s="12">
        <f t="shared" ref="R29:S32" si="7">+F29+J29+N29</f>
        <v>42390165</v>
      </c>
      <c r="S29" s="12">
        <f t="shared" si="7"/>
        <v>16964075.920000002</v>
      </c>
      <c r="T29" s="14">
        <f>+R29-S29</f>
        <v>25426089.079999998</v>
      </c>
      <c r="U29" s="17">
        <f t="shared" si="5"/>
        <v>0.40018895703755819</v>
      </c>
    </row>
    <row r="30" spans="2:21" ht="28.5" customHeight="1">
      <c r="B30" s="18"/>
      <c r="C30" s="10"/>
      <c r="D30" s="10"/>
      <c r="E30" s="22" t="s">
        <v>32</v>
      </c>
      <c r="F30" s="12">
        <v>26249387</v>
      </c>
      <c r="G30" s="12">
        <v>26244081.809999999</v>
      </c>
      <c r="H30" s="12">
        <f>+F30-G30</f>
        <v>5305.1900000013411</v>
      </c>
      <c r="I30" s="13"/>
      <c r="J30" s="12"/>
      <c r="K30" s="12"/>
      <c r="L30" s="12">
        <f>+J30-K30</f>
        <v>0</v>
      </c>
      <c r="M30" s="12"/>
      <c r="N30" s="12"/>
      <c r="O30" s="12"/>
      <c r="P30" s="12">
        <f>+N30-O30</f>
        <v>0</v>
      </c>
      <c r="Q30" s="13"/>
      <c r="R30" s="12">
        <f t="shared" si="7"/>
        <v>26249387</v>
      </c>
      <c r="S30" s="12">
        <f t="shared" si="7"/>
        <v>26244081.809999999</v>
      </c>
      <c r="T30" s="14">
        <f>+R30-S30</f>
        <v>5305.1900000013411</v>
      </c>
      <c r="U30" s="17">
        <f t="shared" si="5"/>
        <v>0.99979789280412523</v>
      </c>
    </row>
    <row r="31" spans="2:21" ht="28.5" customHeight="1">
      <c r="B31" s="18"/>
      <c r="C31" s="10"/>
      <c r="D31" s="10"/>
      <c r="E31" s="22" t="s">
        <v>33</v>
      </c>
      <c r="F31" s="12">
        <v>14622000</v>
      </c>
      <c r="G31" s="12">
        <v>14619096.460000001</v>
      </c>
      <c r="H31" s="12">
        <f>+F31-G31</f>
        <v>2903.5399999991059</v>
      </c>
      <c r="I31" s="13"/>
      <c r="J31" s="12"/>
      <c r="K31" s="12"/>
      <c r="L31" s="12">
        <f>+J31-K31</f>
        <v>0</v>
      </c>
      <c r="M31" s="12"/>
      <c r="N31" s="12"/>
      <c r="O31" s="12"/>
      <c r="P31" s="12">
        <f>+N31-O31</f>
        <v>0</v>
      </c>
      <c r="Q31" s="13"/>
      <c r="R31" s="12">
        <f t="shared" si="7"/>
        <v>14622000</v>
      </c>
      <c r="S31" s="12">
        <f t="shared" si="7"/>
        <v>14619096.460000001</v>
      </c>
      <c r="T31" s="14">
        <f>+R31-S31</f>
        <v>2903.5399999991059</v>
      </c>
      <c r="U31" s="17">
        <f t="shared" si="5"/>
        <v>0.99980142661742588</v>
      </c>
    </row>
    <row r="32" spans="2:21" ht="28.5" customHeight="1">
      <c r="B32" s="18"/>
      <c r="C32" s="10"/>
      <c r="D32" s="10"/>
      <c r="E32" s="22" t="s">
        <v>34</v>
      </c>
      <c r="F32" s="12">
        <v>3385000</v>
      </c>
      <c r="G32" s="12">
        <v>2804279.9000000004</v>
      </c>
      <c r="H32" s="12">
        <f>+F32-G32</f>
        <v>580720.09999999963</v>
      </c>
      <c r="I32" s="13"/>
      <c r="J32" s="12"/>
      <c r="K32" s="12"/>
      <c r="L32" s="12">
        <f>+J32-K32</f>
        <v>0</v>
      </c>
      <c r="M32" s="12"/>
      <c r="N32" s="12"/>
      <c r="O32" s="12"/>
      <c r="P32" s="12">
        <f>+N32-O32</f>
        <v>0</v>
      </c>
      <c r="Q32" s="13"/>
      <c r="R32" s="12">
        <f t="shared" si="7"/>
        <v>3385000</v>
      </c>
      <c r="S32" s="12">
        <f t="shared" si="7"/>
        <v>2804279.9000000004</v>
      </c>
      <c r="T32" s="14">
        <f>+R32-S32</f>
        <v>580720.09999999963</v>
      </c>
      <c r="U32" s="17">
        <f t="shared" si="5"/>
        <v>0.8284431019202364</v>
      </c>
    </row>
    <row r="33" spans="2:23" ht="27.75" customHeight="1">
      <c r="B33" s="18"/>
      <c r="C33" s="10"/>
      <c r="D33" s="10"/>
      <c r="E33" s="22"/>
      <c r="F33" s="12"/>
      <c r="G33" s="12"/>
      <c r="H33" s="12"/>
      <c r="I33" s="13"/>
      <c r="J33" s="12"/>
      <c r="K33" s="12"/>
      <c r="L33" s="12"/>
      <c r="M33" s="12"/>
      <c r="N33" s="12"/>
      <c r="O33" s="12"/>
      <c r="P33" s="12"/>
      <c r="Q33" s="13"/>
      <c r="R33" s="12"/>
      <c r="S33" s="12"/>
      <c r="T33" s="14"/>
      <c r="U33" s="17"/>
    </row>
    <row r="34" spans="2:23" ht="24.95" customHeight="1">
      <c r="B34" s="18"/>
      <c r="C34" s="24" t="s">
        <v>35</v>
      </c>
      <c r="D34" s="10"/>
      <c r="E34" s="22"/>
      <c r="F34" s="12"/>
      <c r="G34" s="12"/>
      <c r="H34" s="12"/>
      <c r="I34" s="13"/>
      <c r="J34" s="12"/>
      <c r="K34" s="12"/>
      <c r="L34" s="12"/>
      <c r="M34" s="12"/>
      <c r="N34" s="12"/>
      <c r="O34" s="12"/>
      <c r="P34" s="12"/>
      <c r="Q34" s="13"/>
      <c r="R34" s="12"/>
      <c r="S34" s="12"/>
      <c r="T34" s="14"/>
      <c r="U34" s="17"/>
    </row>
    <row r="35" spans="2:23" ht="24.95" customHeight="1">
      <c r="B35" s="18"/>
      <c r="C35" s="10"/>
      <c r="D35" s="25" t="s">
        <v>36</v>
      </c>
      <c r="E35" s="26"/>
      <c r="F35" s="12">
        <v>13687000</v>
      </c>
      <c r="G35" s="12">
        <v>13685827.180000002</v>
      </c>
      <c r="H35" s="12">
        <f>+F35-G35</f>
        <v>1172.8199999984354</v>
      </c>
      <c r="I35" s="13"/>
      <c r="J35" s="12"/>
      <c r="K35" s="12"/>
      <c r="L35" s="12">
        <f>+J35-K35</f>
        <v>0</v>
      </c>
      <c r="M35" s="12"/>
      <c r="N35" s="12"/>
      <c r="O35" s="12"/>
      <c r="P35" s="12">
        <f>+N35-O35</f>
        <v>0</v>
      </c>
      <c r="Q35" s="13"/>
      <c r="R35" s="12">
        <f t="shared" ref="R35:S46" si="8">+F35+J35+N35</f>
        <v>13687000</v>
      </c>
      <c r="S35" s="12">
        <f t="shared" si="8"/>
        <v>13685827.180000002</v>
      </c>
      <c r="T35" s="14">
        <f>+R35-S35</f>
        <v>1172.8199999984354</v>
      </c>
      <c r="U35" s="17">
        <f t="shared" si="5"/>
        <v>0.99991431139037057</v>
      </c>
    </row>
    <row r="36" spans="2:23" ht="24.95" customHeight="1">
      <c r="B36" s="18"/>
      <c r="C36" s="10"/>
      <c r="D36" s="27" t="s">
        <v>37</v>
      </c>
      <c r="E36" s="22"/>
      <c r="F36" s="12">
        <v>42484000</v>
      </c>
      <c r="G36" s="12">
        <v>42454968.280000001</v>
      </c>
      <c r="H36" s="12">
        <f>+F36-G36</f>
        <v>29031.719999998808</v>
      </c>
      <c r="I36" s="13"/>
      <c r="J36" s="12"/>
      <c r="K36" s="12"/>
      <c r="L36" s="12">
        <f>+J36-K36</f>
        <v>0</v>
      </c>
      <c r="M36" s="12"/>
      <c r="N36" s="12"/>
      <c r="O36" s="12"/>
      <c r="P36" s="12">
        <f>+N36-O36</f>
        <v>0</v>
      </c>
      <c r="Q36" s="13"/>
      <c r="R36" s="12">
        <f t="shared" si="8"/>
        <v>42484000</v>
      </c>
      <c r="S36" s="12">
        <f t="shared" si="8"/>
        <v>42454968.280000001</v>
      </c>
      <c r="T36" s="14">
        <f>+R36-S36</f>
        <v>29031.719999998808</v>
      </c>
      <c r="U36" s="17">
        <f t="shared" si="5"/>
        <v>0.99931664344223714</v>
      </c>
    </row>
    <row r="37" spans="2:23" ht="24.95" customHeight="1">
      <c r="B37" s="18"/>
      <c r="C37" s="10"/>
      <c r="D37" s="28" t="s">
        <v>38</v>
      </c>
      <c r="E37" s="22"/>
      <c r="F37" s="12">
        <v>35719000</v>
      </c>
      <c r="G37" s="12">
        <v>22918279.510000002</v>
      </c>
      <c r="H37" s="12">
        <f>+F37-G37</f>
        <v>12800720.489999998</v>
      </c>
      <c r="I37" s="13"/>
      <c r="J37" s="12"/>
      <c r="K37" s="12"/>
      <c r="L37" s="12">
        <f>+J37-K37</f>
        <v>0</v>
      </c>
      <c r="M37" s="12"/>
      <c r="N37" s="12">
        <v>43202</v>
      </c>
      <c r="O37" s="12"/>
      <c r="P37" s="12">
        <f>+N37-O37</f>
        <v>43202</v>
      </c>
      <c r="Q37" s="13"/>
      <c r="R37" s="12">
        <f t="shared" si="8"/>
        <v>35762202</v>
      </c>
      <c r="S37" s="12">
        <f t="shared" si="8"/>
        <v>22918279.510000002</v>
      </c>
      <c r="T37" s="14">
        <f>+R37-S37</f>
        <v>12843922.489999998</v>
      </c>
      <c r="U37" s="17">
        <f t="shared" si="5"/>
        <v>0.64085202331780355</v>
      </c>
    </row>
    <row r="38" spans="2:23" ht="24.95" customHeight="1">
      <c r="B38" s="18"/>
      <c r="C38" s="10"/>
      <c r="D38" s="28" t="s">
        <v>39</v>
      </c>
      <c r="E38" s="22"/>
      <c r="F38" s="12">
        <v>58122270.899999999</v>
      </c>
      <c r="G38" s="12">
        <v>42088445.630000003</v>
      </c>
      <c r="H38" s="12">
        <f>+F38-G38</f>
        <v>16033825.269999996</v>
      </c>
      <c r="I38" s="13"/>
      <c r="J38" s="12"/>
      <c r="K38" s="12"/>
      <c r="L38" s="12">
        <f>+J38-K38</f>
        <v>0</v>
      </c>
      <c r="M38" s="12"/>
      <c r="N38" s="12"/>
      <c r="O38" s="12"/>
      <c r="P38" s="12">
        <f>+N38-O38</f>
        <v>0</v>
      </c>
      <c r="Q38" s="13"/>
      <c r="R38" s="12">
        <f t="shared" si="8"/>
        <v>58122270.899999999</v>
      </c>
      <c r="S38" s="12">
        <f t="shared" si="8"/>
        <v>42088445.630000003</v>
      </c>
      <c r="T38" s="14">
        <f>+R38-S38</f>
        <v>16033825.269999996</v>
      </c>
      <c r="U38" s="17">
        <f t="shared" si="5"/>
        <v>0.72413629024257553</v>
      </c>
    </row>
    <row r="39" spans="2:23" ht="24.95" customHeight="1">
      <c r="B39" s="18"/>
      <c r="C39" s="10"/>
      <c r="D39" s="28" t="s">
        <v>40</v>
      </c>
      <c r="E39" s="22"/>
      <c r="F39" s="12">
        <v>136053000</v>
      </c>
      <c r="G39" s="12">
        <f>60959740.97+13809.85</f>
        <v>60973550.82</v>
      </c>
      <c r="H39" s="12">
        <f t="shared" ref="H39:H44" si="9">+F39-G39</f>
        <v>75079449.180000007</v>
      </c>
      <c r="I39" s="13"/>
      <c r="J39" s="12"/>
      <c r="K39" s="12"/>
      <c r="L39" s="12">
        <f t="shared" ref="L39:L44" si="10">+J39-K39</f>
        <v>0</v>
      </c>
      <c r="M39" s="12"/>
      <c r="N39" s="12"/>
      <c r="O39" s="12"/>
      <c r="P39" s="12">
        <f t="shared" ref="P39:P44" si="11">+N39-O39</f>
        <v>0</v>
      </c>
      <c r="Q39" s="13"/>
      <c r="R39" s="12">
        <f t="shared" si="8"/>
        <v>136053000</v>
      </c>
      <c r="S39" s="12">
        <f t="shared" si="8"/>
        <v>60973550.82</v>
      </c>
      <c r="T39" s="14">
        <f t="shared" ref="T39:T46" si="12">+R39-S39</f>
        <v>75079449.180000007</v>
      </c>
      <c r="U39" s="17">
        <f t="shared" si="5"/>
        <v>0.44816028180194484</v>
      </c>
    </row>
    <row r="40" spans="2:23" ht="24.95" customHeight="1">
      <c r="B40" s="18"/>
      <c r="C40" s="10"/>
      <c r="D40" s="28" t="s">
        <v>41</v>
      </c>
      <c r="E40" s="22"/>
      <c r="F40" s="12">
        <v>15691000</v>
      </c>
      <c r="G40" s="12">
        <v>15685050.83</v>
      </c>
      <c r="H40" s="12">
        <f t="shared" si="9"/>
        <v>5949.1699999999255</v>
      </c>
      <c r="I40" s="13"/>
      <c r="J40" s="12"/>
      <c r="K40" s="12"/>
      <c r="L40" s="12">
        <f t="shared" si="10"/>
        <v>0</v>
      </c>
      <c r="M40" s="12"/>
      <c r="N40" s="12"/>
      <c r="O40" s="12"/>
      <c r="P40" s="12">
        <f t="shared" si="11"/>
        <v>0</v>
      </c>
      <c r="Q40" s="13"/>
      <c r="R40" s="12">
        <f t="shared" si="8"/>
        <v>15691000</v>
      </c>
      <c r="S40" s="12">
        <f t="shared" si="8"/>
        <v>15685050.83</v>
      </c>
      <c r="T40" s="14">
        <f t="shared" si="12"/>
        <v>5949.1699999999255</v>
      </c>
      <c r="U40" s="17">
        <f t="shared" si="5"/>
        <v>0.99962085463004269</v>
      </c>
    </row>
    <row r="41" spans="2:23" ht="24.95" customHeight="1">
      <c r="B41" s="18"/>
      <c r="C41" s="10"/>
      <c r="D41" s="28" t="s">
        <v>42</v>
      </c>
      <c r="E41" s="22"/>
      <c r="F41" s="12">
        <v>33209000</v>
      </c>
      <c r="G41" s="12">
        <v>28107844.309999999</v>
      </c>
      <c r="H41" s="12">
        <f t="shared" si="9"/>
        <v>5101155.6900000013</v>
      </c>
      <c r="I41" s="13"/>
      <c r="J41" s="12"/>
      <c r="K41" s="12"/>
      <c r="L41" s="12">
        <f t="shared" si="10"/>
        <v>0</v>
      </c>
      <c r="M41" s="12"/>
      <c r="N41" s="12">
        <v>1753198</v>
      </c>
      <c r="O41" s="12">
        <v>0</v>
      </c>
      <c r="P41" s="12">
        <f t="shared" si="11"/>
        <v>1753198</v>
      </c>
      <c r="Q41" s="13"/>
      <c r="R41" s="12">
        <f t="shared" si="8"/>
        <v>34962198</v>
      </c>
      <c r="S41" s="12">
        <f t="shared" si="8"/>
        <v>28107844.309999999</v>
      </c>
      <c r="T41" s="14">
        <f t="shared" si="12"/>
        <v>6854353.6900000013</v>
      </c>
      <c r="U41" s="17">
        <f t="shared" si="5"/>
        <v>0.80394957748365814</v>
      </c>
    </row>
    <row r="42" spans="2:23" ht="24.95" customHeight="1">
      <c r="B42" s="18"/>
      <c r="C42" s="10"/>
      <c r="D42" s="25" t="s">
        <v>43</v>
      </c>
      <c r="E42" s="22"/>
      <c r="F42" s="12">
        <v>36668000</v>
      </c>
      <c r="G42" s="12">
        <v>22967022.670000002</v>
      </c>
      <c r="H42" s="12">
        <f t="shared" si="9"/>
        <v>13700977.329999998</v>
      </c>
      <c r="I42" s="13">
        <v>2208000</v>
      </c>
      <c r="J42" s="12"/>
      <c r="K42" s="12"/>
      <c r="L42" s="12">
        <f t="shared" si="10"/>
        <v>0</v>
      </c>
      <c r="M42" s="12"/>
      <c r="N42" s="12"/>
      <c r="O42" s="12"/>
      <c r="P42" s="12">
        <f t="shared" si="11"/>
        <v>0</v>
      </c>
      <c r="Q42" s="13"/>
      <c r="R42" s="12">
        <f t="shared" si="8"/>
        <v>36668000</v>
      </c>
      <c r="S42" s="12">
        <f t="shared" si="8"/>
        <v>22967022.670000002</v>
      </c>
      <c r="T42" s="14">
        <f t="shared" si="12"/>
        <v>13700977.329999998</v>
      </c>
      <c r="U42" s="17">
        <f t="shared" si="5"/>
        <v>0.62635056916112142</v>
      </c>
    </row>
    <row r="43" spans="2:23" ht="24.95" customHeight="1">
      <c r="B43" s="18"/>
      <c r="C43" s="10"/>
      <c r="D43" s="27" t="s">
        <v>44</v>
      </c>
      <c r="E43" s="22"/>
      <c r="F43" s="12">
        <v>21679000</v>
      </c>
      <c r="G43" s="12">
        <v>21625590.41</v>
      </c>
      <c r="H43" s="12">
        <f t="shared" si="9"/>
        <v>53409.589999999851</v>
      </c>
      <c r="I43" s="13"/>
      <c r="J43" s="12"/>
      <c r="K43" s="12"/>
      <c r="L43" s="12">
        <f t="shared" si="10"/>
        <v>0</v>
      </c>
      <c r="M43" s="12"/>
      <c r="N43" s="12"/>
      <c r="O43" s="12"/>
      <c r="P43" s="12">
        <f t="shared" si="11"/>
        <v>0</v>
      </c>
      <c r="Q43" s="13"/>
      <c r="R43" s="12">
        <f t="shared" si="8"/>
        <v>21679000</v>
      </c>
      <c r="S43" s="12">
        <f t="shared" si="8"/>
        <v>21625590.41</v>
      </c>
      <c r="T43" s="14">
        <f t="shared" si="12"/>
        <v>53409.589999999851</v>
      </c>
      <c r="U43" s="17">
        <f t="shared" si="5"/>
        <v>0.99753634438857886</v>
      </c>
    </row>
    <row r="44" spans="2:23" ht="24.95" customHeight="1">
      <c r="B44" s="18"/>
      <c r="C44" s="10"/>
      <c r="D44" s="28" t="s">
        <v>45</v>
      </c>
      <c r="E44" s="22"/>
      <c r="F44" s="12">
        <v>24118000</v>
      </c>
      <c r="G44" s="12">
        <f>19003421.25+52159.09</f>
        <v>19055580.34</v>
      </c>
      <c r="H44" s="12">
        <f t="shared" si="9"/>
        <v>5062419.66</v>
      </c>
      <c r="I44" s="13"/>
      <c r="J44" s="12"/>
      <c r="K44" s="12"/>
      <c r="L44" s="12">
        <f t="shared" si="10"/>
        <v>0</v>
      </c>
      <c r="M44" s="12"/>
      <c r="N44" s="12"/>
      <c r="O44" s="12"/>
      <c r="P44" s="12">
        <f t="shared" si="11"/>
        <v>0</v>
      </c>
      <c r="Q44" s="13"/>
      <c r="R44" s="12">
        <f t="shared" si="8"/>
        <v>24118000</v>
      </c>
      <c r="S44" s="12">
        <f t="shared" si="8"/>
        <v>19055580.34</v>
      </c>
      <c r="T44" s="14">
        <f t="shared" si="12"/>
        <v>5062419.66</v>
      </c>
      <c r="U44" s="17">
        <f t="shared" si="5"/>
        <v>0.79009786632390744</v>
      </c>
    </row>
    <row r="45" spans="2:23" ht="24.95" customHeight="1">
      <c r="B45" s="18"/>
      <c r="C45" s="10"/>
      <c r="D45" s="29" t="s">
        <v>46</v>
      </c>
      <c r="E45" s="22"/>
      <c r="F45" s="12">
        <v>52975000</v>
      </c>
      <c r="G45" s="12">
        <v>51725891.369999997</v>
      </c>
      <c r="H45" s="12">
        <f>+F45-G45</f>
        <v>1249108.6300000027</v>
      </c>
      <c r="I45" s="13"/>
      <c r="J45" s="12"/>
      <c r="K45" s="12"/>
      <c r="L45" s="12">
        <f>+J45-K45</f>
        <v>0</v>
      </c>
      <c r="M45" s="12"/>
      <c r="N45" s="12"/>
      <c r="O45" s="12"/>
      <c r="P45" s="12">
        <f>+N45-O45</f>
        <v>0</v>
      </c>
      <c r="Q45" s="13"/>
      <c r="R45" s="12">
        <f>+F45+J45+N45</f>
        <v>52975000</v>
      </c>
      <c r="S45" s="12">
        <f t="shared" si="8"/>
        <v>51725891.369999997</v>
      </c>
      <c r="T45" s="14">
        <f t="shared" si="12"/>
        <v>1249108.6300000027</v>
      </c>
      <c r="U45" s="17">
        <f t="shared" si="5"/>
        <v>0.97642079037281737</v>
      </c>
      <c r="W45" s="30"/>
    </row>
    <row r="46" spans="2:23" ht="24.95" customHeight="1">
      <c r="B46" s="18"/>
      <c r="C46" s="10"/>
      <c r="D46" s="25" t="s">
        <v>47</v>
      </c>
      <c r="E46" s="22"/>
      <c r="F46" s="12">
        <v>36645500</v>
      </c>
      <c r="G46" s="12">
        <v>18896659.18</v>
      </c>
      <c r="H46" s="12">
        <f>+F46-G46</f>
        <v>17748840.82</v>
      </c>
      <c r="I46" s="13"/>
      <c r="J46" s="12"/>
      <c r="K46" s="12"/>
      <c r="L46" s="12">
        <f>+J46-K46</f>
        <v>0</v>
      </c>
      <c r="M46" s="12"/>
      <c r="N46" s="12"/>
      <c r="O46" s="12"/>
      <c r="P46" s="12">
        <f>+N46-O46</f>
        <v>0</v>
      </c>
      <c r="Q46" s="13"/>
      <c r="R46" s="12">
        <f>+F46+J46+N46</f>
        <v>36645500</v>
      </c>
      <c r="S46" s="12">
        <f t="shared" si="8"/>
        <v>18896659.18</v>
      </c>
      <c r="T46" s="14">
        <f t="shared" si="12"/>
        <v>17748840.82</v>
      </c>
      <c r="U46" s="17">
        <f t="shared" si="5"/>
        <v>0.51566110927671882</v>
      </c>
    </row>
    <row r="47" spans="2:23" ht="27.75" customHeight="1">
      <c r="B47" s="18"/>
      <c r="C47" s="10"/>
      <c r="D47" s="10"/>
      <c r="E47" s="22"/>
      <c r="F47" s="12"/>
      <c r="G47" s="12"/>
      <c r="H47" s="12"/>
      <c r="I47" s="13"/>
      <c r="J47" s="12"/>
      <c r="K47" s="12"/>
      <c r="L47" s="12"/>
      <c r="M47" s="12"/>
      <c r="N47" s="12"/>
      <c r="O47" s="12"/>
      <c r="P47" s="12"/>
      <c r="Q47" s="13"/>
      <c r="R47" s="12"/>
      <c r="S47" s="12"/>
      <c r="T47" s="14"/>
      <c r="U47" s="17"/>
    </row>
    <row r="48" spans="2:23" ht="24.95" customHeight="1">
      <c r="B48" s="18"/>
      <c r="C48" s="24" t="s">
        <v>48</v>
      </c>
      <c r="D48" s="10"/>
      <c r="E48" s="22"/>
      <c r="F48" s="12"/>
      <c r="G48" s="12"/>
      <c r="H48" s="12"/>
      <c r="I48" s="13"/>
      <c r="J48" s="12"/>
      <c r="K48" s="12"/>
      <c r="L48" s="12"/>
      <c r="M48" s="12"/>
      <c r="N48" s="12"/>
      <c r="O48" s="12"/>
      <c r="P48" s="12"/>
      <c r="Q48" s="13"/>
      <c r="R48" s="12"/>
      <c r="S48" s="12"/>
      <c r="T48" s="14"/>
      <c r="U48" s="17"/>
    </row>
    <row r="49" spans="2:21" ht="24.95" customHeight="1">
      <c r="B49" s="18"/>
      <c r="C49" s="10"/>
      <c r="D49" s="10"/>
      <c r="E49" s="10" t="s">
        <v>49</v>
      </c>
      <c r="F49" s="12">
        <v>10206000</v>
      </c>
      <c r="G49" s="12">
        <v>10206000</v>
      </c>
      <c r="H49" s="12">
        <f>+F49-G49</f>
        <v>0</v>
      </c>
      <c r="I49" s="13"/>
      <c r="J49" s="12"/>
      <c r="K49" s="12"/>
      <c r="L49" s="12">
        <f>+J49-K49</f>
        <v>0</v>
      </c>
      <c r="M49" s="12"/>
      <c r="N49" s="12"/>
      <c r="O49" s="12"/>
      <c r="P49" s="12">
        <f>+N49-O49</f>
        <v>0</v>
      </c>
      <c r="Q49" s="13"/>
      <c r="R49" s="12">
        <f>+F49+J49+N49</f>
        <v>10206000</v>
      </c>
      <c r="S49" s="12">
        <f>+G49+K49+O49</f>
        <v>10206000</v>
      </c>
      <c r="T49" s="14">
        <f>+R49-S49</f>
        <v>0</v>
      </c>
      <c r="U49" s="17">
        <f t="shared" si="5"/>
        <v>1</v>
      </c>
    </row>
    <row r="50" spans="2:21" ht="24.95" customHeight="1">
      <c r="B50" s="18"/>
      <c r="C50" s="10"/>
      <c r="D50" s="10"/>
      <c r="E50" s="10" t="s">
        <v>50</v>
      </c>
      <c r="F50" s="12">
        <v>34810000</v>
      </c>
      <c r="G50" s="12">
        <v>34672353.909999996</v>
      </c>
      <c r="H50" s="12">
        <f>+F50-G50</f>
        <v>137646.09000000358</v>
      </c>
      <c r="I50" s="13"/>
      <c r="J50" s="12"/>
      <c r="K50" s="12"/>
      <c r="L50" s="12">
        <f>+J50-K50</f>
        <v>0</v>
      </c>
      <c r="M50" s="12"/>
      <c r="N50" s="12"/>
      <c r="O50" s="12"/>
      <c r="P50" s="12">
        <f>+N50-O50</f>
        <v>0</v>
      </c>
      <c r="Q50" s="13"/>
      <c r="R50" s="12">
        <f>+F50+J50+N50</f>
        <v>34810000</v>
      </c>
      <c r="S50" s="12">
        <f>+G50+K50+O50</f>
        <v>34672353.909999996</v>
      </c>
      <c r="T50" s="14">
        <f>+R50-S50</f>
        <v>137646.09000000358</v>
      </c>
      <c r="U50" s="17">
        <f t="shared" si="5"/>
        <v>0.99604578885377759</v>
      </c>
    </row>
    <row r="51" spans="2:21" ht="27.75" customHeight="1">
      <c r="B51" s="18"/>
      <c r="C51" s="10"/>
      <c r="D51" s="10"/>
      <c r="E51" s="31" t="s">
        <v>51</v>
      </c>
      <c r="F51" s="32">
        <f t="shared" ref="F51:T51" si="13">SUM(F13:F48)</f>
        <v>701561799.89999998</v>
      </c>
      <c r="G51" s="32">
        <f t="shared" si="13"/>
        <v>512990867.99000001</v>
      </c>
      <c r="H51" s="32">
        <f t="shared" si="13"/>
        <v>188570931.90999997</v>
      </c>
      <c r="I51" s="32">
        <f t="shared" si="13"/>
        <v>2208000</v>
      </c>
      <c r="J51" s="32">
        <f>SUM(J13:J48)</f>
        <v>0</v>
      </c>
      <c r="K51" s="32">
        <f>SUM(K13:K48)</f>
        <v>0</v>
      </c>
      <c r="L51" s="32">
        <f>SUM(L13:L48)</f>
        <v>0</v>
      </c>
      <c r="M51" s="32">
        <f t="shared" si="13"/>
        <v>0</v>
      </c>
      <c r="N51" s="32">
        <f>SUM(N13:N48)</f>
        <v>1796400</v>
      </c>
      <c r="O51" s="32">
        <f>SUM(O13:O48)</f>
        <v>0</v>
      </c>
      <c r="P51" s="32">
        <f>SUM(P13:P48)</f>
        <v>1796400</v>
      </c>
      <c r="Q51" s="32">
        <f t="shared" si="13"/>
        <v>0</v>
      </c>
      <c r="R51" s="32">
        <f t="shared" si="13"/>
        <v>703358199.89999998</v>
      </c>
      <c r="S51" s="32">
        <f t="shared" si="13"/>
        <v>512990867.99000001</v>
      </c>
      <c r="T51" s="32">
        <f t="shared" si="13"/>
        <v>190367331.90999997</v>
      </c>
      <c r="U51" s="17">
        <f t="shared" si="5"/>
        <v>0.72934511613418962</v>
      </c>
    </row>
    <row r="52" spans="2:21" ht="27.75" customHeight="1">
      <c r="B52" s="18"/>
      <c r="C52" s="10"/>
      <c r="D52" s="10"/>
      <c r="E52" s="31"/>
      <c r="F52" s="32"/>
      <c r="G52" s="32"/>
      <c r="H52" s="32"/>
      <c r="I52" s="33"/>
      <c r="J52" s="32"/>
      <c r="K52" s="32"/>
      <c r="L52" s="32"/>
      <c r="M52" s="32"/>
      <c r="N52" s="32"/>
      <c r="O52" s="32"/>
      <c r="P52" s="32"/>
      <c r="Q52" s="33"/>
      <c r="R52" s="32"/>
      <c r="S52" s="32"/>
      <c r="T52" s="34"/>
      <c r="U52" s="17"/>
    </row>
    <row r="53" spans="2:21" ht="24.95" customHeight="1">
      <c r="B53" s="18"/>
      <c r="C53" s="24" t="s">
        <v>52</v>
      </c>
      <c r="D53" s="10"/>
      <c r="E53" s="22"/>
      <c r="F53" s="12">
        <f>SUM(F55:F80)</f>
        <v>306022145</v>
      </c>
      <c r="G53" s="12">
        <f t="shared" ref="G53:T53" si="14">SUM(G55:G80)</f>
        <v>245699735.99999994</v>
      </c>
      <c r="H53" s="12">
        <f t="shared" si="14"/>
        <v>60322408.999999993</v>
      </c>
      <c r="I53" s="12">
        <f t="shared" si="14"/>
        <v>0</v>
      </c>
      <c r="J53" s="12">
        <f>SUM(J55:J80)</f>
        <v>0</v>
      </c>
      <c r="K53" s="12">
        <f>SUM(K55:K80)</f>
        <v>0</v>
      </c>
      <c r="L53" s="12">
        <f>SUM(L55:L80)</f>
        <v>0</v>
      </c>
      <c r="M53" s="12">
        <f t="shared" si="14"/>
        <v>0</v>
      </c>
      <c r="N53" s="12">
        <f>SUM(N55:N80)</f>
        <v>73419919</v>
      </c>
      <c r="O53" s="12">
        <f>SUM(O55:O80)</f>
        <v>48319636.460000001</v>
      </c>
      <c r="P53" s="12">
        <f>SUM(P55:P80)</f>
        <v>25100282.539999999</v>
      </c>
      <c r="Q53" s="12">
        <f t="shared" si="14"/>
        <v>0</v>
      </c>
      <c r="R53" s="12">
        <f t="shared" si="14"/>
        <v>379442064</v>
      </c>
      <c r="S53" s="12">
        <f t="shared" si="14"/>
        <v>294019372.45999998</v>
      </c>
      <c r="T53" s="14">
        <f t="shared" si="14"/>
        <v>85422691.539999992</v>
      </c>
      <c r="U53" s="17">
        <f>+S53/R53</f>
        <v>0.774872899858567</v>
      </c>
    </row>
    <row r="54" spans="2:21" ht="24.95" customHeight="1">
      <c r="B54" s="18"/>
      <c r="C54" s="20" t="s">
        <v>53</v>
      </c>
      <c r="D54" s="20"/>
      <c r="E54" s="10"/>
      <c r="F54" s="12"/>
      <c r="G54" s="12"/>
      <c r="H54" s="12">
        <f t="shared" ref="H54:H59" si="15">+F54-G54</f>
        <v>0</v>
      </c>
      <c r="I54" s="13"/>
      <c r="J54" s="12"/>
      <c r="K54" s="12"/>
      <c r="L54" s="12">
        <f t="shared" ref="L54:L59" si="16">+J54-K54</f>
        <v>0</v>
      </c>
      <c r="M54" s="12"/>
      <c r="N54" s="12"/>
      <c r="O54" s="12"/>
      <c r="P54" s="12">
        <f t="shared" ref="P54:P59" si="17">+N54-O54</f>
        <v>0</v>
      </c>
      <c r="Q54" s="13"/>
      <c r="R54" s="12"/>
      <c r="S54" s="12"/>
      <c r="T54" s="14"/>
      <c r="U54" s="17"/>
    </row>
    <row r="55" spans="2:21" ht="24.95" customHeight="1">
      <c r="B55" s="18"/>
      <c r="C55" s="20"/>
      <c r="D55" s="20"/>
      <c r="E55" s="10" t="s">
        <v>54</v>
      </c>
      <c r="F55" s="35">
        <v>40830000</v>
      </c>
      <c r="G55" s="35">
        <v>32891805.920000002</v>
      </c>
      <c r="H55" s="12">
        <f t="shared" si="15"/>
        <v>7938194.0799999982</v>
      </c>
      <c r="I55" s="13"/>
      <c r="J55" s="35"/>
      <c r="K55" s="35"/>
      <c r="L55" s="12">
        <f t="shared" si="16"/>
        <v>0</v>
      </c>
      <c r="M55" s="12"/>
      <c r="N55" s="35"/>
      <c r="O55" s="35"/>
      <c r="P55" s="12">
        <f t="shared" si="17"/>
        <v>0</v>
      </c>
      <c r="Q55" s="13"/>
      <c r="R55" s="12">
        <f>+F55+J55+N55</f>
        <v>40830000</v>
      </c>
      <c r="S55" s="12">
        <f t="shared" ref="R55:S59" si="18">+G55+K55+O55</f>
        <v>32891805.920000002</v>
      </c>
      <c r="T55" s="14">
        <f>+R55-S55</f>
        <v>7938194.0799999982</v>
      </c>
      <c r="U55" s="17">
        <f t="shared" si="5"/>
        <v>0.80557937594905715</v>
      </c>
    </row>
    <row r="56" spans="2:21" ht="30" customHeight="1">
      <c r="B56" s="18"/>
      <c r="C56" s="10"/>
      <c r="D56" s="10"/>
      <c r="E56" s="21" t="s">
        <v>55</v>
      </c>
      <c r="F56" s="36">
        <v>25866000</v>
      </c>
      <c r="G56" s="37">
        <v>18954956.77</v>
      </c>
      <c r="H56" s="12">
        <f t="shared" si="15"/>
        <v>6911043.2300000004</v>
      </c>
      <c r="I56" s="13"/>
      <c r="J56" s="36"/>
      <c r="K56" s="37"/>
      <c r="L56" s="12">
        <f t="shared" si="16"/>
        <v>0</v>
      </c>
      <c r="M56" s="38"/>
      <c r="N56" s="36">
        <v>3710720</v>
      </c>
      <c r="O56" s="37">
        <v>3710720</v>
      </c>
      <c r="P56" s="12">
        <f t="shared" si="17"/>
        <v>0</v>
      </c>
      <c r="Q56" s="39"/>
      <c r="R56" s="38">
        <f t="shared" si="18"/>
        <v>29576720</v>
      </c>
      <c r="S56" s="38">
        <f t="shared" si="18"/>
        <v>22665676.77</v>
      </c>
      <c r="T56" s="40">
        <f>+R56-S56</f>
        <v>6911043.2300000004</v>
      </c>
      <c r="U56" s="17">
        <f t="shared" si="5"/>
        <v>0.76633503546032145</v>
      </c>
    </row>
    <row r="57" spans="2:21" ht="30" customHeight="1">
      <c r="B57" s="18"/>
      <c r="C57" s="10"/>
      <c r="D57" s="10"/>
      <c r="E57" s="21" t="s">
        <v>56</v>
      </c>
      <c r="F57" s="12">
        <v>4470000</v>
      </c>
      <c r="G57" s="12">
        <v>3223921.2600000002</v>
      </c>
      <c r="H57" s="12">
        <f t="shared" si="15"/>
        <v>1246078.7399999998</v>
      </c>
      <c r="I57" s="13"/>
      <c r="J57" s="12"/>
      <c r="K57" s="12"/>
      <c r="L57" s="12">
        <f t="shared" si="16"/>
        <v>0</v>
      </c>
      <c r="M57" s="12"/>
      <c r="N57" s="12"/>
      <c r="O57" s="12"/>
      <c r="P57" s="12">
        <f t="shared" si="17"/>
        <v>0</v>
      </c>
      <c r="Q57" s="13"/>
      <c r="R57" s="12">
        <f t="shared" si="18"/>
        <v>4470000</v>
      </c>
      <c r="S57" s="12">
        <f t="shared" si="18"/>
        <v>3223921.2600000002</v>
      </c>
      <c r="T57" s="14">
        <f>+R57-S57</f>
        <v>1246078.7399999998</v>
      </c>
      <c r="U57" s="17">
        <f t="shared" si="5"/>
        <v>0.72123518120805374</v>
      </c>
    </row>
    <row r="58" spans="2:21" ht="24.95" customHeight="1">
      <c r="B58" s="18"/>
      <c r="C58" s="10"/>
      <c r="D58" s="10"/>
      <c r="E58" s="28" t="s">
        <v>57</v>
      </c>
      <c r="F58" s="12">
        <v>4146000</v>
      </c>
      <c r="G58" s="12">
        <v>1508870.72</v>
      </c>
      <c r="H58" s="12">
        <f t="shared" si="15"/>
        <v>2637129.2800000003</v>
      </c>
      <c r="I58" s="13"/>
      <c r="J58" s="12"/>
      <c r="K58" s="12"/>
      <c r="L58" s="12">
        <f t="shared" si="16"/>
        <v>0</v>
      </c>
      <c r="M58" s="12"/>
      <c r="N58" s="12"/>
      <c r="O58" s="12"/>
      <c r="P58" s="12">
        <f t="shared" si="17"/>
        <v>0</v>
      </c>
      <c r="Q58" s="13"/>
      <c r="R58" s="12">
        <f t="shared" si="18"/>
        <v>4146000</v>
      </c>
      <c r="S58" s="12">
        <f t="shared" si="18"/>
        <v>1508870.72</v>
      </c>
      <c r="T58" s="14">
        <f>+R58-S58</f>
        <v>2637129.2800000003</v>
      </c>
      <c r="U58" s="17">
        <f t="shared" si="5"/>
        <v>0.36393408586589482</v>
      </c>
    </row>
    <row r="59" spans="2:21" ht="29.25" customHeight="1">
      <c r="B59" s="18"/>
      <c r="C59" s="10"/>
      <c r="D59" s="10"/>
      <c r="E59" s="21" t="s">
        <v>58</v>
      </c>
      <c r="F59" s="12">
        <v>2428000</v>
      </c>
      <c r="G59" s="12">
        <v>2131783.59</v>
      </c>
      <c r="H59" s="12">
        <f t="shared" si="15"/>
        <v>296216.41000000015</v>
      </c>
      <c r="I59" s="13"/>
      <c r="J59" s="12"/>
      <c r="K59" s="12"/>
      <c r="L59" s="12">
        <f t="shared" si="16"/>
        <v>0</v>
      </c>
      <c r="M59" s="12"/>
      <c r="N59" s="12"/>
      <c r="O59" s="12"/>
      <c r="P59" s="12">
        <f t="shared" si="17"/>
        <v>0</v>
      </c>
      <c r="Q59" s="13"/>
      <c r="R59" s="12">
        <f t="shared" si="18"/>
        <v>2428000</v>
      </c>
      <c r="S59" s="12">
        <f t="shared" si="18"/>
        <v>2131783.59</v>
      </c>
      <c r="T59" s="14">
        <f>+R59-S59</f>
        <v>296216.41000000015</v>
      </c>
      <c r="U59" s="17">
        <f t="shared" si="5"/>
        <v>0.87799983113673796</v>
      </c>
    </row>
    <row r="60" spans="2:21" ht="24.95" customHeight="1">
      <c r="B60" s="18"/>
      <c r="C60" s="10"/>
      <c r="D60" s="10"/>
      <c r="E60" s="21"/>
      <c r="F60" s="12"/>
      <c r="G60" s="12"/>
      <c r="H60" s="12"/>
      <c r="I60" s="13"/>
      <c r="J60" s="12"/>
      <c r="K60" s="12"/>
      <c r="L60" s="12"/>
      <c r="M60" s="12"/>
      <c r="N60" s="12"/>
      <c r="O60" s="12"/>
      <c r="P60" s="12"/>
      <c r="Q60" s="13"/>
      <c r="R60" s="12"/>
      <c r="S60" s="12"/>
      <c r="T60" s="14"/>
      <c r="U60" s="17"/>
    </row>
    <row r="61" spans="2:21" ht="24.95" customHeight="1">
      <c r="B61" s="18"/>
      <c r="C61" s="20" t="s">
        <v>59</v>
      </c>
      <c r="D61" s="20"/>
      <c r="E61" s="10"/>
      <c r="F61" s="12"/>
      <c r="G61" s="12"/>
      <c r="H61" s="12"/>
      <c r="I61" s="13"/>
      <c r="J61" s="12"/>
      <c r="K61" s="12"/>
      <c r="L61" s="12"/>
      <c r="M61" s="12"/>
      <c r="N61" s="12"/>
      <c r="O61" s="12"/>
      <c r="P61" s="12"/>
      <c r="Q61" s="13"/>
      <c r="R61" s="12"/>
      <c r="S61" s="12"/>
      <c r="T61" s="14"/>
      <c r="U61" s="17"/>
    </row>
    <row r="62" spans="2:21" ht="24.95" customHeight="1">
      <c r="B62" s="18"/>
      <c r="C62" s="20"/>
      <c r="D62" s="20"/>
      <c r="E62" s="10" t="s">
        <v>60</v>
      </c>
      <c r="F62" s="12">
        <v>9085722</v>
      </c>
      <c r="G62" s="12">
        <v>8520534.4199999999</v>
      </c>
      <c r="H62" s="12">
        <f>+F62-G62</f>
        <v>565187.58000000007</v>
      </c>
      <c r="I62" s="13"/>
      <c r="J62" s="12"/>
      <c r="K62" s="12"/>
      <c r="L62" s="12">
        <f>+J62-K62</f>
        <v>0</v>
      </c>
      <c r="M62" s="12"/>
      <c r="N62" s="12">
        <v>4244365</v>
      </c>
      <c r="O62" s="12">
        <v>4244362.9400000004</v>
      </c>
      <c r="P62" s="12">
        <f>+N62-O62</f>
        <v>2.0599999995902181</v>
      </c>
      <c r="Q62" s="13"/>
      <c r="R62" s="12">
        <f t="shared" ref="R62:S65" si="19">+F62+J62+N62</f>
        <v>13330087</v>
      </c>
      <c r="S62" s="12">
        <f t="shared" si="19"/>
        <v>12764897.359999999</v>
      </c>
      <c r="T62" s="14">
        <f>+R62-S62</f>
        <v>565189.6400000006</v>
      </c>
      <c r="U62" s="17">
        <f t="shared" si="5"/>
        <v>0.95760045377048175</v>
      </c>
    </row>
    <row r="63" spans="2:21" ht="30" customHeight="1">
      <c r="B63" s="18"/>
      <c r="C63" s="10"/>
      <c r="D63" s="10"/>
      <c r="E63" s="21" t="s">
        <v>61</v>
      </c>
      <c r="F63" s="12">
        <v>10994924</v>
      </c>
      <c r="G63" s="12">
        <v>10341619.91</v>
      </c>
      <c r="H63" s="12">
        <f>+F63-G63</f>
        <v>653304.08999999985</v>
      </c>
      <c r="I63" s="13"/>
      <c r="J63" s="12"/>
      <c r="K63" s="12"/>
      <c r="L63" s="12">
        <f>+J63-K63</f>
        <v>0</v>
      </c>
      <c r="M63" s="12"/>
      <c r="N63" s="12"/>
      <c r="O63" s="12"/>
      <c r="P63" s="12">
        <f>+N63-O63</f>
        <v>0</v>
      </c>
      <c r="Q63" s="13"/>
      <c r="R63" s="12">
        <f t="shared" si="19"/>
        <v>10994924</v>
      </c>
      <c r="S63" s="12">
        <f t="shared" si="19"/>
        <v>10341619.91</v>
      </c>
      <c r="T63" s="14">
        <f>+R63-S63</f>
        <v>653304.08999999985</v>
      </c>
      <c r="U63" s="17">
        <f t="shared" si="5"/>
        <v>0.94058130006173757</v>
      </c>
    </row>
    <row r="64" spans="2:21" ht="30" customHeight="1">
      <c r="B64" s="18"/>
      <c r="C64" s="10"/>
      <c r="D64" s="10"/>
      <c r="E64" s="22" t="s">
        <v>62</v>
      </c>
      <c r="F64" s="12">
        <v>24772693</v>
      </c>
      <c r="G64" s="12">
        <v>24638713.710000001</v>
      </c>
      <c r="H64" s="12">
        <f>+F64-G64</f>
        <v>133979.28999999911</v>
      </c>
      <c r="I64" s="13"/>
      <c r="J64" s="12"/>
      <c r="K64" s="12"/>
      <c r="L64" s="12">
        <f>+J64-K64</f>
        <v>0</v>
      </c>
      <c r="M64" s="12"/>
      <c r="N64" s="12"/>
      <c r="O64" s="12"/>
      <c r="P64" s="12">
        <f>+N64-O64</f>
        <v>0</v>
      </c>
      <c r="Q64" s="13"/>
      <c r="R64" s="12">
        <f t="shared" si="19"/>
        <v>24772693</v>
      </c>
      <c r="S64" s="12">
        <f t="shared" si="19"/>
        <v>24638713.710000001</v>
      </c>
      <c r="T64" s="14">
        <f>+R64-S64</f>
        <v>133979.28999999911</v>
      </c>
      <c r="U64" s="17">
        <f t="shared" si="5"/>
        <v>0.9945916542057015</v>
      </c>
    </row>
    <row r="65" spans="2:21" ht="30" customHeight="1">
      <c r="B65" s="18"/>
      <c r="C65" s="10"/>
      <c r="D65" s="10"/>
      <c r="E65" s="21" t="s">
        <v>63</v>
      </c>
      <c r="F65" s="12">
        <v>19107479</v>
      </c>
      <c r="G65" s="12">
        <v>14021155.9</v>
      </c>
      <c r="H65" s="12">
        <f>+F65-G65</f>
        <v>5086323.0999999996</v>
      </c>
      <c r="I65" s="13"/>
      <c r="J65" s="12"/>
      <c r="K65" s="12"/>
      <c r="L65" s="12">
        <f>+J65-K65</f>
        <v>0</v>
      </c>
      <c r="M65" s="12"/>
      <c r="N65" s="12">
        <v>739382</v>
      </c>
      <c r="O65" s="12"/>
      <c r="P65" s="12">
        <f>+N65-O65</f>
        <v>739382</v>
      </c>
      <c r="Q65" s="13"/>
      <c r="R65" s="12">
        <f t="shared" si="19"/>
        <v>19846861</v>
      </c>
      <c r="S65" s="12">
        <f t="shared" si="19"/>
        <v>14021155.9</v>
      </c>
      <c r="T65" s="14">
        <f>+R65-S65</f>
        <v>5825705.0999999996</v>
      </c>
      <c r="U65" s="17">
        <f t="shared" si="5"/>
        <v>0.70646717886521204</v>
      </c>
    </row>
    <row r="66" spans="2:21" ht="24.95" customHeight="1">
      <c r="B66" s="18"/>
      <c r="C66" s="10"/>
      <c r="D66" s="10"/>
      <c r="E66" s="21"/>
      <c r="F66" s="12"/>
      <c r="G66" s="12"/>
      <c r="H66" s="12"/>
      <c r="I66" s="13"/>
      <c r="J66" s="12"/>
      <c r="K66" s="12"/>
      <c r="L66" s="12"/>
      <c r="M66" s="12"/>
      <c r="N66" s="12"/>
      <c r="O66" s="12"/>
      <c r="P66" s="12"/>
      <c r="Q66" s="13"/>
      <c r="R66" s="12"/>
      <c r="S66" s="12"/>
      <c r="T66" s="14"/>
      <c r="U66" s="17"/>
    </row>
    <row r="67" spans="2:21" ht="24.95" customHeight="1">
      <c r="B67" s="18"/>
      <c r="C67" s="20" t="s">
        <v>64</v>
      </c>
      <c r="D67" s="20"/>
      <c r="E67" s="10"/>
      <c r="F67" s="12"/>
      <c r="G67" s="12"/>
      <c r="H67" s="12"/>
      <c r="I67" s="13"/>
      <c r="J67" s="12"/>
      <c r="K67" s="12"/>
      <c r="L67" s="12"/>
      <c r="M67" s="12"/>
      <c r="N67" s="12"/>
      <c r="O67" s="12"/>
      <c r="P67" s="12"/>
      <c r="Q67" s="13"/>
      <c r="R67" s="12"/>
      <c r="S67" s="12"/>
      <c r="T67" s="14"/>
      <c r="U67" s="17"/>
    </row>
    <row r="68" spans="2:21" ht="24.95" customHeight="1">
      <c r="B68" s="18"/>
      <c r="C68" s="20"/>
      <c r="D68" s="20"/>
      <c r="E68" s="10" t="s">
        <v>65</v>
      </c>
      <c r="F68" s="12">
        <v>13382000</v>
      </c>
      <c r="G68" s="12">
        <v>11774401.66</v>
      </c>
      <c r="H68" s="12">
        <f>+F68-G68</f>
        <v>1607598.3399999999</v>
      </c>
      <c r="I68" s="13"/>
      <c r="J68" s="12"/>
      <c r="K68" s="12"/>
      <c r="L68" s="12">
        <f>+J68-K68</f>
        <v>0</v>
      </c>
      <c r="M68" s="12"/>
      <c r="N68" s="12"/>
      <c r="O68" s="12"/>
      <c r="P68" s="12">
        <f>+N68-O68</f>
        <v>0</v>
      </c>
      <c r="Q68" s="13"/>
      <c r="R68" s="12">
        <f t="shared" ref="R68:S72" si="20">+F68+J68+N68</f>
        <v>13382000</v>
      </c>
      <c r="S68" s="12">
        <f t="shared" si="20"/>
        <v>11774401.66</v>
      </c>
      <c r="T68" s="14">
        <f>+R68-S68</f>
        <v>1607598.3399999999</v>
      </c>
      <c r="U68" s="17">
        <f t="shared" si="5"/>
        <v>0.87986860409505308</v>
      </c>
    </row>
    <row r="69" spans="2:21" ht="30.75" customHeight="1">
      <c r="B69" s="18"/>
      <c r="C69" s="10"/>
      <c r="D69" s="10"/>
      <c r="E69" s="21" t="s">
        <v>66</v>
      </c>
      <c r="F69" s="12">
        <v>54201000</v>
      </c>
      <c r="G69" s="12">
        <v>54199325.57</v>
      </c>
      <c r="H69" s="12">
        <f>+F69-G69</f>
        <v>1674.429999999702</v>
      </c>
      <c r="I69" s="13"/>
      <c r="J69" s="12"/>
      <c r="K69" s="12"/>
      <c r="L69" s="12">
        <f>+J69-K69</f>
        <v>0</v>
      </c>
      <c r="M69" s="12"/>
      <c r="N69" s="12"/>
      <c r="O69" s="12"/>
      <c r="P69" s="12">
        <f>+N69-O69</f>
        <v>0</v>
      </c>
      <c r="Q69" s="13"/>
      <c r="R69" s="12">
        <f t="shared" si="20"/>
        <v>54201000</v>
      </c>
      <c r="S69" s="12">
        <f t="shared" si="20"/>
        <v>54199325.57</v>
      </c>
      <c r="T69" s="14">
        <f>+R69-S69</f>
        <v>1674.429999999702</v>
      </c>
      <c r="U69" s="17">
        <f t="shared" si="5"/>
        <v>0.9999691070275456</v>
      </c>
    </row>
    <row r="70" spans="2:21" ht="30.75" customHeight="1">
      <c r="B70" s="18"/>
      <c r="C70" s="10"/>
      <c r="D70" s="10"/>
      <c r="E70" s="21" t="s">
        <v>67</v>
      </c>
      <c r="F70" s="12">
        <v>13514000</v>
      </c>
      <c r="G70" s="12">
        <v>8467332.7899999991</v>
      </c>
      <c r="H70" s="12">
        <f>+F70-G70</f>
        <v>5046667.2100000009</v>
      </c>
      <c r="I70" s="13"/>
      <c r="J70" s="12"/>
      <c r="K70" s="12"/>
      <c r="L70" s="12">
        <f>+J70-K70</f>
        <v>0</v>
      </c>
      <c r="M70" s="12"/>
      <c r="N70" s="12"/>
      <c r="O70" s="12"/>
      <c r="P70" s="12">
        <f>+N70-O70</f>
        <v>0</v>
      </c>
      <c r="Q70" s="13"/>
      <c r="R70" s="12">
        <f t="shared" si="20"/>
        <v>13514000</v>
      </c>
      <c r="S70" s="12">
        <f t="shared" si="20"/>
        <v>8467332.7899999991</v>
      </c>
      <c r="T70" s="14">
        <f>+R70-S70</f>
        <v>5046667.2100000009</v>
      </c>
      <c r="U70" s="17">
        <f t="shared" si="5"/>
        <v>0.62656007029746918</v>
      </c>
    </row>
    <row r="71" spans="2:21" ht="30.75" customHeight="1">
      <c r="B71" s="18"/>
      <c r="C71" s="10"/>
      <c r="D71" s="10"/>
      <c r="E71" s="22" t="s">
        <v>68</v>
      </c>
      <c r="F71" s="12">
        <v>2271000</v>
      </c>
      <c r="G71" s="12">
        <v>2262478.98</v>
      </c>
      <c r="H71" s="12">
        <f>+F71-G71</f>
        <v>8521.0200000000186</v>
      </c>
      <c r="I71" s="13"/>
      <c r="J71" s="12"/>
      <c r="K71" s="12"/>
      <c r="L71" s="12">
        <f>+J71-K71</f>
        <v>0</v>
      </c>
      <c r="M71" s="12"/>
      <c r="N71" s="12"/>
      <c r="O71" s="12"/>
      <c r="P71" s="12">
        <f>+N71-O71</f>
        <v>0</v>
      </c>
      <c r="Q71" s="13"/>
      <c r="R71" s="12">
        <f t="shared" si="20"/>
        <v>2271000</v>
      </c>
      <c r="S71" s="12">
        <f t="shared" si="20"/>
        <v>2262478.98</v>
      </c>
      <c r="T71" s="14">
        <f>+R71-S71</f>
        <v>8521.0200000000186</v>
      </c>
      <c r="U71" s="17">
        <f t="shared" si="5"/>
        <v>0.99624789960369875</v>
      </c>
    </row>
    <row r="72" spans="2:21" ht="24.95" customHeight="1">
      <c r="B72" s="18"/>
      <c r="C72" s="10"/>
      <c r="D72" s="10"/>
      <c r="E72" s="41" t="s">
        <v>69</v>
      </c>
      <c r="F72" s="12">
        <v>3352000</v>
      </c>
      <c r="G72" s="12">
        <v>1933526.11</v>
      </c>
      <c r="H72" s="12">
        <f>+F72-G72</f>
        <v>1418473.89</v>
      </c>
      <c r="I72" s="13"/>
      <c r="J72" s="12"/>
      <c r="K72" s="12"/>
      <c r="L72" s="12">
        <f>+J72-K72</f>
        <v>0</v>
      </c>
      <c r="M72" s="12"/>
      <c r="N72" s="12">
        <v>53261000</v>
      </c>
      <c r="O72" s="12">
        <v>29011940.920000002</v>
      </c>
      <c r="P72" s="12">
        <f>+N72-O72</f>
        <v>24249059.079999998</v>
      </c>
      <c r="Q72" s="13"/>
      <c r="R72" s="12">
        <f t="shared" si="20"/>
        <v>56613000</v>
      </c>
      <c r="S72" s="12">
        <f t="shared" si="20"/>
        <v>30945467.030000001</v>
      </c>
      <c r="T72" s="14">
        <f>+R72-S72</f>
        <v>25667532.969999999</v>
      </c>
      <c r="U72" s="17">
        <f t="shared" si="5"/>
        <v>0.5466141527564341</v>
      </c>
    </row>
    <row r="73" spans="2:21" ht="24.95" customHeight="1">
      <c r="B73" s="18"/>
      <c r="C73" s="10"/>
      <c r="D73" s="10"/>
      <c r="E73" s="41"/>
      <c r="F73" s="12"/>
      <c r="G73" s="12"/>
      <c r="H73" s="12"/>
      <c r="I73" s="13"/>
      <c r="J73" s="12"/>
      <c r="K73" s="12"/>
      <c r="L73" s="12"/>
      <c r="M73" s="12"/>
      <c r="N73" s="12"/>
      <c r="O73" s="12"/>
      <c r="P73" s="12"/>
      <c r="Q73" s="13"/>
      <c r="R73" s="12"/>
      <c r="S73" s="12"/>
      <c r="T73" s="14"/>
      <c r="U73" s="17"/>
    </row>
    <row r="74" spans="2:21" ht="24.95" customHeight="1">
      <c r="B74" s="18"/>
      <c r="C74" s="20" t="s">
        <v>70</v>
      </c>
      <c r="D74" s="20"/>
      <c r="E74" s="10"/>
      <c r="F74" s="12"/>
      <c r="G74" s="12"/>
      <c r="H74" s="12"/>
      <c r="I74" s="13"/>
      <c r="J74" s="12"/>
      <c r="K74" s="12"/>
      <c r="L74" s="12"/>
      <c r="M74" s="12"/>
      <c r="N74" s="12"/>
      <c r="O74" s="12"/>
      <c r="P74" s="12"/>
      <c r="Q74" s="13"/>
      <c r="R74" s="12"/>
      <c r="S74" s="12"/>
      <c r="T74" s="14"/>
      <c r="U74" s="17"/>
    </row>
    <row r="75" spans="2:21" ht="24.95" customHeight="1">
      <c r="B75" s="18"/>
      <c r="C75" s="20"/>
      <c r="D75" s="20"/>
      <c r="E75" s="10" t="s">
        <v>71</v>
      </c>
      <c r="F75" s="12">
        <v>18121000</v>
      </c>
      <c r="G75" s="12">
        <v>12402127.25</v>
      </c>
      <c r="H75" s="12">
        <f t="shared" ref="H75:H80" si="21">+F75-G75</f>
        <v>5718872.75</v>
      </c>
      <c r="I75" s="13"/>
      <c r="J75" s="12"/>
      <c r="K75" s="12"/>
      <c r="L75" s="12">
        <f t="shared" ref="L75:L80" si="22">+J75-K75</f>
        <v>0</v>
      </c>
      <c r="M75" s="12"/>
      <c r="N75" s="12">
        <v>11464452</v>
      </c>
      <c r="O75" s="12">
        <v>11352612.6</v>
      </c>
      <c r="P75" s="12">
        <f t="shared" ref="P75:P80" si="23">+N75-O75</f>
        <v>111839.40000000037</v>
      </c>
      <c r="Q75" s="13"/>
      <c r="R75" s="12">
        <f t="shared" ref="R75:S80" si="24">+F75+J75+N75</f>
        <v>29585452</v>
      </c>
      <c r="S75" s="12">
        <f t="shared" si="24"/>
        <v>23754739.850000001</v>
      </c>
      <c r="T75" s="14">
        <f t="shared" ref="T75:T80" si="25">+R75-S75</f>
        <v>5830712.1499999985</v>
      </c>
      <c r="U75" s="17">
        <f t="shared" ref="U75:U137" si="26">+S75/R75</f>
        <v>0.80291961907494269</v>
      </c>
    </row>
    <row r="76" spans="2:21" ht="28.5" customHeight="1">
      <c r="B76" s="18"/>
      <c r="C76" s="10"/>
      <c r="D76" s="10"/>
      <c r="E76" s="21" t="s">
        <v>72</v>
      </c>
      <c r="F76" s="12">
        <v>30142000</v>
      </c>
      <c r="G76" s="12">
        <v>14226985.810000001</v>
      </c>
      <c r="H76" s="12">
        <f t="shared" si="21"/>
        <v>15915014.189999999</v>
      </c>
      <c r="I76" s="13"/>
      <c r="J76" s="12"/>
      <c r="K76" s="12"/>
      <c r="L76" s="12">
        <f t="shared" si="22"/>
        <v>0</v>
      </c>
      <c r="M76" s="12"/>
      <c r="N76" s="12"/>
      <c r="O76" s="12"/>
      <c r="P76" s="12">
        <f t="shared" si="23"/>
        <v>0</v>
      </c>
      <c r="Q76" s="13"/>
      <c r="R76" s="12">
        <f t="shared" si="24"/>
        <v>30142000</v>
      </c>
      <c r="S76" s="12">
        <f t="shared" si="24"/>
        <v>14226985.810000001</v>
      </c>
      <c r="T76" s="14">
        <f t="shared" si="25"/>
        <v>15915014.189999999</v>
      </c>
      <c r="U76" s="17">
        <f t="shared" si="26"/>
        <v>0.47199873299714684</v>
      </c>
    </row>
    <row r="77" spans="2:21" ht="28.5" customHeight="1">
      <c r="B77" s="18"/>
      <c r="C77" s="10"/>
      <c r="D77" s="10"/>
      <c r="E77" s="21" t="s">
        <v>73</v>
      </c>
      <c r="F77" s="12">
        <v>1450000</v>
      </c>
      <c r="G77" s="12">
        <v>1375072.67</v>
      </c>
      <c r="H77" s="12">
        <f t="shared" si="21"/>
        <v>74927.330000000075</v>
      </c>
      <c r="I77" s="13"/>
      <c r="J77" s="12"/>
      <c r="K77" s="12"/>
      <c r="L77" s="12">
        <f t="shared" si="22"/>
        <v>0</v>
      </c>
      <c r="M77" s="12"/>
      <c r="N77" s="12"/>
      <c r="O77" s="12"/>
      <c r="P77" s="12">
        <f t="shared" si="23"/>
        <v>0</v>
      </c>
      <c r="Q77" s="13"/>
      <c r="R77" s="12">
        <f t="shared" si="24"/>
        <v>1450000</v>
      </c>
      <c r="S77" s="12">
        <f t="shared" si="24"/>
        <v>1375072.67</v>
      </c>
      <c r="T77" s="14">
        <f t="shared" si="25"/>
        <v>74927.330000000075</v>
      </c>
      <c r="U77" s="17">
        <f t="shared" si="26"/>
        <v>0.94832597931034479</v>
      </c>
    </row>
    <row r="78" spans="2:21" ht="28.5" customHeight="1">
      <c r="B78" s="18"/>
      <c r="C78" s="10"/>
      <c r="D78" s="10"/>
      <c r="E78" s="21" t="s">
        <v>74</v>
      </c>
      <c r="F78" s="12">
        <v>14314000</v>
      </c>
      <c r="G78" s="12">
        <v>10196420.67</v>
      </c>
      <c r="H78" s="12">
        <f t="shared" si="21"/>
        <v>4117579.33</v>
      </c>
      <c r="I78" s="13"/>
      <c r="J78" s="12"/>
      <c r="K78" s="12"/>
      <c r="L78" s="12">
        <f t="shared" si="22"/>
        <v>0</v>
      </c>
      <c r="M78" s="12"/>
      <c r="N78" s="12"/>
      <c r="O78" s="12"/>
      <c r="P78" s="12">
        <f t="shared" si="23"/>
        <v>0</v>
      </c>
      <c r="Q78" s="13"/>
      <c r="R78" s="12">
        <f t="shared" si="24"/>
        <v>14314000</v>
      </c>
      <c r="S78" s="12">
        <f t="shared" si="24"/>
        <v>10196420.67</v>
      </c>
      <c r="T78" s="14">
        <f t="shared" si="25"/>
        <v>4117579.33</v>
      </c>
      <c r="U78" s="17">
        <f t="shared" si="26"/>
        <v>0.71233901564901492</v>
      </c>
    </row>
    <row r="79" spans="2:21" ht="24.95" customHeight="1">
      <c r="B79" s="18"/>
      <c r="C79" s="10"/>
      <c r="D79" s="10"/>
      <c r="E79" s="28" t="s">
        <v>75</v>
      </c>
      <c r="F79" s="12">
        <v>4445000</v>
      </c>
      <c r="G79" s="12">
        <v>3501009.72</v>
      </c>
      <c r="H79" s="12">
        <f t="shared" si="21"/>
        <v>943990.2799999998</v>
      </c>
      <c r="I79" s="13"/>
      <c r="J79" s="12"/>
      <c r="K79" s="12"/>
      <c r="L79" s="12">
        <f t="shared" si="22"/>
        <v>0</v>
      </c>
      <c r="M79" s="12"/>
      <c r="N79" s="12"/>
      <c r="O79" s="12"/>
      <c r="P79" s="12">
        <f t="shared" si="23"/>
        <v>0</v>
      </c>
      <c r="Q79" s="13"/>
      <c r="R79" s="12">
        <f t="shared" si="24"/>
        <v>4445000</v>
      </c>
      <c r="S79" s="12">
        <f t="shared" si="24"/>
        <v>3501009.72</v>
      </c>
      <c r="T79" s="14">
        <f t="shared" si="25"/>
        <v>943990.2799999998</v>
      </c>
      <c r="U79" s="17">
        <f t="shared" si="26"/>
        <v>0.78762873340832396</v>
      </c>
    </row>
    <row r="80" spans="2:21" ht="24.95" customHeight="1">
      <c r="B80" s="18"/>
      <c r="C80" s="10"/>
      <c r="D80" s="10"/>
      <c r="E80" s="22" t="s">
        <v>76</v>
      </c>
      <c r="F80" s="12">
        <v>9129327</v>
      </c>
      <c r="G80" s="12">
        <v>9127692.5700000003</v>
      </c>
      <c r="H80" s="12">
        <f t="shared" si="21"/>
        <v>1634.429999999702</v>
      </c>
      <c r="I80" s="13"/>
      <c r="J80" s="12"/>
      <c r="K80" s="12"/>
      <c r="L80" s="12">
        <f t="shared" si="22"/>
        <v>0</v>
      </c>
      <c r="M80" s="12"/>
      <c r="N80" s="12"/>
      <c r="O80" s="12"/>
      <c r="P80" s="12">
        <f t="shared" si="23"/>
        <v>0</v>
      </c>
      <c r="Q80" s="13"/>
      <c r="R80" s="12">
        <f t="shared" si="24"/>
        <v>9129327</v>
      </c>
      <c r="S80" s="12">
        <f t="shared" si="24"/>
        <v>9127692.5700000003</v>
      </c>
      <c r="T80" s="14">
        <f t="shared" si="25"/>
        <v>1634.429999999702</v>
      </c>
      <c r="U80" s="17">
        <f t="shared" si="26"/>
        <v>0.99982096927845832</v>
      </c>
    </row>
    <row r="81" spans="2:21" ht="27.75" customHeight="1">
      <c r="B81" s="18"/>
      <c r="C81" s="10"/>
      <c r="D81" s="10"/>
      <c r="E81" s="31" t="s">
        <v>51</v>
      </c>
      <c r="F81" s="32">
        <f>SUM(F55:F80)</f>
        <v>306022145</v>
      </c>
      <c r="G81" s="32">
        <f t="shared" ref="G81:S81" si="27">SUM(G55:G80)</f>
        <v>245699735.99999994</v>
      </c>
      <c r="H81" s="32">
        <f t="shared" si="27"/>
        <v>60322408.999999993</v>
      </c>
      <c r="I81" s="32">
        <f t="shared" si="27"/>
        <v>0</v>
      </c>
      <c r="J81" s="32">
        <f>SUM(J55:J80)</f>
        <v>0</v>
      </c>
      <c r="K81" s="32">
        <f>SUM(K55:K80)</f>
        <v>0</v>
      </c>
      <c r="L81" s="32">
        <f>SUM(L55:L80)</f>
        <v>0</v>
      </c>
      <c r="M81" s="32">
        <f t="shared" si="27"/>
        <v>0</v>
      </c>
      <c r="N81" s="32">
        <f>SUM(N55:N80)</f>
        <v>73419919</v>
      </c>
      <c r="O81" s="32">
        <f>SUM(O55:O80)</f>
        <v>48319636.460000001</v>
      </c>
      <c r="P81" s="32">
        <f>SUM(P55:P80)</f>
        <v>25100282.539999999</v>
      </c>
      <c r="Q81" s="32">
        <f t="shared" si="27"/>
        <v>0</v>
      </c>
      <c r="R81" s="32">
        <f t="shared" si="27"/>
        <v>379442064</v>
      </c>
      <c r="S81" s="32">
        <f t="shared" si="27"/>
        <v>294019372.45999998</v>
      </c>
      <c r="T81" s="34">
        <f>SUM(T55:T80)</f>
        <v>85422691.539999992</v>
      </c>
      <c r="U81" s="17">
        <f t="shared" si="26"/>
        <v>0.774872899858567</v>
      </c>
    </row>
    <row r="82" spans="2:21" ht="24.95" customHeight="1">
      <c r="B82" s="18"/>
      <c r="C82" s="10"/>
      <c r="D82" s="10"/>
      <c r="E82" s="22"/>
      <c r="F82" s="12"/>
      <c r="G82" s="12"/>
      <c r="H82" s="12"/>
      <c r="I82" s="13"/>
      <c r="J82" s="12"/>
      <c r="K82" s="12"/>
      <c r="L82" s="12"/>
      <c r="M82" s="12"/>
      <c r="N82" s="12"/>
      <c r="O82" s="12"/>
      <c r="P82" s="12"/>
      <c r="Q82" s="13"/>
      <c r="R82" s="12"/>
      <c r="S82" s="12"/>
      <c r="T82" s="14"/>
      <c r="U82" s="17"/>
    </row>
    <row r="83" spans="2:21" ht="24.95" customHeight="1">
      <c r="B83" s="18"/>
      <c r="C83" s="24" t="s">
        <v>77</v>
      </c>
      <c r="D83" s="10"/>
      <c r="E83" s="22"/>
      <c r="F83" s="12">
        <f>SUM(F85:F103)</f>
        <v>273811000</v>
      </c>
      <c r="G83" s="12">
        <f t="shared" ref="G83:T83" si="28">SUM(G85:G103)</f>
        <v>152586978.09999999</v>
      </c>
      <c r="H83" s="12">
        <f t="shared" si="28"/>
        <v>121224021.89999999</v>
      </c>
      <c r="I83" s="12">
        <f t="shared" si="28"/>
        <v>0</v>
      </c>
      <c r="J83" s="12">
        <f>SUM(J85:J103)</f>
        <v>0</v>
      </c>
      <c r="K83" s="12">
        <f>SUM(K85:K103)</f>
        <v>0</v>
      </c>
      <c r="L83" s="12">
        <f>SUM(L85:L103)</f>
        <v>0</v>
      </c>
      <c r="M83" s="12">
        <f t="shared" si="28"/>
        <v>0</v>
      </c>
      <c r="N83" s="12">
        <f>SUM(N85:N103)</f>
        <v>1123000</v>
      </c>
      <c r="O83" s="12">
        <f>SUM(O85:O103)</f>
        <v>24643909.890000001</v>
      </c>
      <c r="P83" s="12">
        <f>SUM(P85:P103)</f>
        <v>-23520909.890000001</v>
      </c>
      <c r="Q83" s="12">
        <f t="shared" si="28"/>
        <v>0</v>
      </c>
      <c r="R83" s="12">
        <f t="shared" si="28"/>
        <v>274934000</v>
      </c>
      <c r="S83" s="12">
        <f t="shared" si="28"/>
        <v>177230887.98999995</v>
      </c>
      <c r="T83" s="14">
        <f t="shared" si="28"/>
        <v>97703112.00999999</v>
      </c>
      <c r="U83" s="17">
        <f>+S83/R83</f>
        <v>0.64463066768751753</v>
      </c>
    </row>
    <row r="84" spans="2:21" ht="24.95" customHeight="1">
      <c r="B84" s="18"/>
      <c r="C84" s="20" t="s">
        <v>78</v>
      </c>
      <c r="D84" s="20"/>
      <c r="E84" s="10"/>
      <c r="F84" s="12"/>
      <c r="G84" s="12"/>
      <c r="H84" s="12">
        <f t="shared" ref="H84:H89" si="29">+F84-G84</f>
        <v>0</v>
      </c>
      <c r="I84" s="13"/>
      <c r="J84" s="12"/>
      <c r="K84" s="12"/>
      <c r="L84" s="12">
        <f t="shared" ref="L84:L89" si="30">+J84-K84</f>
        <v>0</v>
      </c>
      <c r="M84" s="12"/>
      <c r="N84" s="12"/>
      <c r="O84" s="12"/>
      <c r="P84" s="12">
        <f t="shared" ref="P84:P89" si="31">+N84-O84</f>
        <v>0</v>
      </c>
      <c r="Q84" s="13"/>
      <c r="R84" s="12"/>
      <c r="S84" s="12"/>
      <c r="T84" s="14"/>
      <c r="U84" s="17"/>
    </row>
    <row r="85" spans="2:21" ht="24.95" customHeight="1">
      <c r="B85" s="18"/>
      <c r="C85" s="20"/>
      <c r="D85" s="20"/>
      <c r="E85" s="10" t="s">
        <v>79</v>
      </c>
      <c r="F85" s="42">
        <v>36502000</v>
      </c>
      <c r="G85" s="12">
        <v>6340166.96</v>
      </c>
      <c r="H85" s="12">
        <f t="shared" si="29"/>
        <v>30161833.039999999</v>
      </c>
      <c r="I85" s="13"/>
      <c r="J85" s="42"/>
      <c r="K85" s="12"/>
      <c r="L85" s="12">
        <f t="shared" si="30"/>
        <v>0</v>
      </c>
      <c r="M85" s="12"/>
      <c r="N85" s="42"/>
      <c r="O85" s="12">
        <v>23521678.280000001</v>
      </c>
      <c r="P85" s="12">
        <f t="shared" si="31"/>
        <v>-23521678.280000001</v>
      </c>
      <c r="Q85" s="13"/>
      <c r="R85" s="12">
        <f t="shared" ref="R85:S89" si="32">+F85+J85+N85</f>
        <v>36502000</v>
      </c>
      <c r="S85" s="12">
        <f t="shared" si="32"/>
        <v>29861845.240000002</v>
      </c>
      <c r="T85" s="14">
        <f>+R85-S85</f>
        <v>6640154.7599999979</v>
      </c>
      <c r="U85" s="17">
        <f t="shared" si="26"/>
        <v>0.8180879195660512</v>
      </c>
    </row>
    <row r="86" spans="2:21" ht="27" customHeight="1">
      <c r="B86" s="18"/>
      <c r="C86" s="10"/>
      <c r="D86" s="10"/>
      <c r="E86" s="22" t="s">
        <v>80</v>
      </c>
      <c r="F86" s="12">
        <v>22205000</v>
      </c>
      <c r="G86" s="12">
        <v>21951023.77</v>
      </c>
      <c r="H86" s="12">
        <f t="shared" si="29"/>
        <v>253976.23000000045</v>
      </c>
      <c r="I86" s="13"/>
      <c r="J86" s="12"/>
      <c r="K86" s="12"/>
      <c r="L86" s="12">
        <f t="shared" si="30"/>
        <v>0</v>
      </c>
      <c r="M86" s="12"/>
      <c r="N86" s="12"/>
      <c r="O86" s="12"/>
      <c r="P86" s="12">
        <f t="shared" si="31"/>
        <v>0</v>
      </c>
      <c r="Q86" s="13"/>
      <c r="R86" s="12">
        <f t="shared" si="32"/>
        <v>22205000</v>
      </c>
      <c r="S86" s="12">
        <f t="shared" si="32"/>
        <v>21951023.77</v>
      </c>
      <c r="T86" s="14">
        <f>+R86-S86</f>
        <v>253976.23000000045</v>
      </c>
      <c r="U86" s="17">
        <f t="shared" si="26"/>
        <v>0.98856220535915329</v>
      </c>
    </row>
    <row r="87" spans="2:21" ht="27" customHeight="1">
      <c r="B87" s="18"/>
      <c r="C87" s="10"/>
      <c r="D87" s="10"/>
      <c r="E87" s="22" t="s">
        <v>81</v>
      </c>
      <c r="F87" s="12">
        <v>74261000</v>
      </c>
      <c r="G87" s="12">
        <v>45397855.359999999</v>
      </c>
      <c r="H87" s="12">
        <f t="shared" si="29"/>
        <v>28863144.640000001</v>
      </c>
      <c r="I87" s="13"/>
      <c r="J87" s="12"/>
      <c r="K87" s="12"/>
      <c r="L87" s="12">
        <f t="shared" si="30"/>
        <v>0</v>
      </c>
      <c r="M87" s="12"/>
      <c r="N87" s="12"/>
      <c r="O87" s="12"/>
      <c r="P87" s="12">
        <f t="shared" si="31"/>
        <v>0</v>
      </c>
      <c r="Q87" s="13"/>
      <c r="R87" s="12">
        <f t="shared" si="32"/>
        <v>74261000</v>
      </c>
      <c r="S87" s="12">
        <f t="shared" si="32"/>
        <v>45397855.359999999</v>
      </c>
      <c r="T87" s="14">
        <f>+R87-S87</f>
        <v>28863144.640000001</v>
      </c>
      <c r="U87" s="17">
        <f t="shared" si="26"/>
        <v>0.61132836024292692</v>
      </c>
    </row>
    <row r="88" spans="2:21" ht="27" customHeight="1">
      <c r="B88" s="18"/>
      <c r="C88" s="10"/>
      <c r="D88" s="10"/>
      <c r="E88" s="22" t="s">
        <v>82</v>
      </c>
      <c r="F88" s="12">
        <v>5377000</v>
      </c>
      <c r="G88" s="12">
        <v>1851636.71</v>
      </c>
      <c r="H88" s="12">
        <f t="shared" si="29"/>
        <v>3525363.29</v>
      </c>
      <c r="I88" s="13"/>
      <c r="J88" s="12"/>
      <c r="K88" s="12"/>
      <c r="L88" s="12">
        <f t="shared" si="30"/>
        <v>0</v>
      </c>
      <c r="M88" s="12"/>
      <c r="N88" s="12"/>
      <c r="O88" s="12"/>
      <c r="P88" s="12">
        <f t="shared" si="31"/>
        <v>0</v>
      </c>
      <c r="Q88" s="13"/>
      <c r="R88" s="12">
        <f t="shared" si="32"/>
        <v>5377000</v>
      </c>
      <c r="S88" s="12">
        <f t="shared" si="32"/>
        <v>1851636.71</v>
      </c>
      <c r="T88" s="14">
        <f>+R88-S88</f>
        <v>3525363.29</v>
      </c>
      <c r="U88" s="17">
        <f t="shared" si="26"/>
        <v>0.34436241584526689</v>
      </c>
    </row>
    <row r="89" spans="2:21" ht="27" customHeight="1">
      <c r="B89" s="18"/>
      <c r="C89" s="10"/>
      <c r="D89" s="10"/>
      <c r="E89" s="22" t="s">
        <v>83</v>
      </c>
      <c r="F89" s="12">
        <v>3115000</v>
      </c>
      <c r="G89" s="12">
        <v>1767354.6</v>
      </c>
      <c r="H89" s="12">
        <f t="shared" si="29"/>
        <v>1347645.4</v>
      </c>
      <c r="I89" s="13"/>
      <c r="J89" s="12"/>
      <c r="K89" s="12"/>
      <c r="L89" s="12">
        <f t="shared" si="30"/>
        <v>0</v>
      </c>
      <c r="M89" s="12"/>
      <c r="N89" s="12"/>
      <c r="O89" s="12"/>
      <c r="P89" s="12">
        <f t="shared" si="31"/>
        <v>0</v>
      </c>
      <c r="Q89" s="13"/>
      <c r="R89" s="12">
        <f t="shared" si="32"/>
        <v>3115000</v>
      </c>
      <c r="S89" s="12">
        <f t="shared" si="32"/>
        <v>1767354.6</v>
      </c>
      <c r="T89" s="14">
        <f>+R89-S89</f>
        <v>1347645.4</v>
      </c>
      <c r="U89" s="17">
        <f t="shared" si="26"/>
        <v>0.56736905296950246</v>
      </c>
    </row>
    <row r="90" spans="2:21" ht="24.95" customHeight="1">
      <c r="B90" s="18"/>
      <c r="C90" s="10"/>
      <c r="D90" s="10"/>
      <c r="E90" s="22"/>
      <c r="F90" s="12"/>
      <c r="G90" s="12"/>
      <c r="H90" s="12"/>
      <c r="I90" s="13"/>
      <c r="J90" s="12"/>
      <c r="K90" s="12"/>
      <c r="L90" s="12"/>
      <c r="M90" s="12"/>
      <c r="N90" s="12"/>
      <c r="O90" s="12"/>
      <c r="P90" s="12"/>
      <c r="Q90" s="13"/>
      <c r="R90" s="12"/>
      <c r="S90" s="12"/>
      <c r="T90" s="14"/>
      <c r="U90" s="17"/>
    </row>
    <row r="91" spans="2:21" ht="24.95" customHeight="1">
      <c r="B91" s="18"/>
      <c r="C91" s="20" t="s">
        <v>84</v>
      </c>
      <c r="D91" s="20"/>
      <c r="E91" s="10"/>
      <c r="F91" s="12"/>
      <c r="G91" s="12"/>
      <c r="H91" s="12"/>
      <c r="I91" s="13"/>
      <c r="J91" s="12"/>
      <c r="K91" s="12"/>
      <c r="L91" s="12"/>
      <c r="M91" s="12"/>
      <c r="N91" s="12"/>
      <c r="O91" s="12"/>
      <c r="P91" s="12"/>
      <c r="Q91" s="13"/>
      <c r="R91" s="12"/>
      <c r="S91" s="12"/>
      <c r="T91" s="14"/>
      <c r="U91" s="17"/>
    </row>
    <row r="92" spans="2:21" ht="24.95" customHeight="1">
      <c r="B92" s="18"/>
      <c r="C92" s="20"/>
      <c r="D92" s="20"/>
      <c r="E92" s="10" t="s">
        <v>85</v>
      </c>
      <c r="F92" s="12">
        <v>43041000</v>
      </c>
      <c r="G92" s="12">
        <v>8320600.7599999998</v>
      </c>
      <c r="H92" s="12">
        <f t="shared" ref="H92:H98" si="33">+F92-G92</f>
        <v>34720399.240000002</v>
      </c>
      <c r="I92" s="13"/>
      <c r="J92" s="12"/>
      <c r="K92" s="12"/>
      <c r="L92" s="12">
        <f t="shared" ref="L92:L98" si="34">+J92-K92</f>
        <v>0</v>
      </c>
      <c r="M92" s="12"/>
      <c r="N92" s="12"/>
      <c r="O92" s="12"/>
      <c r="P92" s="12">
        <f t="shared" ref="P92:P98" si="35">+N92-O92</f>
        <v>0</v>
      </c>
      <c r="Q92" s="13"/>
      <c r="R92" s="12">
        <f t="shared" ref="R92:S97" si="36">+F92+J92+N92</f>
        <v>43041000</v>
      </c>
      <c r="S92" s="12">
        <f t="shared" si="36"/>
        <v>8320600.7599999998</v>
      </c>
      <c r="T92" s="14">
        <f t="shared" ref="T92:T98" si="37">+R92-S92</f>
        <v>34720399.240000002</v>
      </c>
      <c r="U92" s="17">
        <f t="shared" si="26"/>
        <v>0.19331801677470317</v>
      </c>
    </row>
    <row r="93" spans="2:21" ht="28.5" customHeight="1">
      <c r="B93" s="18"/>
      <c r="C93" s="10"/>
      <c r="D93" s="10"/>
      <c r="E93" s="22" t="s">
        <v>86</v>
      </c>
      <c r="F93" s="12">
        <v>30147000</v>
      </c>
      <c r="G93" s="12">
        <v>25479092.829999998</v>
      </c>
      <c r="H93" s="12">
        <f t="shared" si="33"/>
        <v>4667907.1700000018</v>
      </c>
      <c r="I93" s="13"/>
      <c r="J93" s="12"/>
      <c r="K93" s="12"/>
      <c r="L93" s="12">
        <f t="shared" si="34"/>
        <v>0</v>
      </c>
      <c r="M93" s="12"/>
      <c r="N93" s="12"/>
      <c r="O93" s="12"/>
      <c r="P93" s="12">
        <f t="shared" si="35"/>
        <v>0</v>
      </c>
      <c r="Q93" s="13"/>
      <c r="R93" s="12">
        <f t="shared" si="36"/>
        <v>30147000</v>
      </c>
      <c r="S93" s="12">
        <f t="shared" si="36"/>
        <v>25479092.829999998</v>
      </c>
      <c r="T93" s="14">
        <f t="shared" si="37"/>
        <v>4667907.1700000018</v>
      </c>
      <c r="U93" s="17">
        <f t="shared" si="26"/>
        <v>0.8451618015059541</v>
      </c>
    </row>
    <row r="94" spans="2:21" ht="28.5" customHeight="1">
      <c r="B94" s="18"/>
      <c r="C94" s="10"/>
      <c r="D94" s="10"/>
      <c r="E94" s="22" t="s">
        <v>87</v>
      </c>
      <c r="F94" s="12">
        <v>13406000</v>
      </c>
      <c r="G94" s="12">
        <v>12438408.289999999</v>
      </c>
      <c r="H94" s="12">
        <f t="shared" si="33"/>
        <v>967591.71000000089</v>
      </c>
      <c r="I94" s="13"/>
      <c r="J94" s="12"/>
      <c r="K94" s="12"/>
      <c r="L94" s="12">
        <f t="shared" si="34"/>
        <v>0</v>
      </c>
      <c r="M94" s="12"/>
      <c r="N94" s="12"/>
      <c r="O94" s="12"/>
      <c r="P94" s="12">
        <f t="shared" si="35"/>
        <v>0</v>
      </c>
      <c r="Q94" s="13"/>
      <c r="R94" s="12">
        <f t="shared" si="36"/>
        <v>13406000</v>
      </c>
      <c r="S94" s="12">
        <f t="shared" si="36"/>
        <v>12438408.289999999</v>
      </c>
      <c r="T94" s="14">
        <f t="shared" si="37"/>
        <v>967591.71000000089</v>
      </c>
      <c r="U94" s="17">
        <f t="shared" si="26"/>
        <v>0.92782398105325969</v>
      </c>
    </row>
    <row r="95" spans="2:21" ht="28.5" customHeight="1">
      <c r="B95" s="18"/>
      <c r="C95" s="10"/>
      <c r="D95" s="10"/>
      <c r="E95" s="22" t="s">
        <v>88</v>
      </c>
      <c r="F95" s="12">
        <v>2471000</v>
      </c>
      <c r="G95" s="12">
        <v>2323782.17</v>
      </c>
      <c r="H95" s="12">
        <f t="shared" si="33"/>
        <v>147217.83000000007</v>
      </c>
      <c r="I95" s="13"/>
      <c r="J95" s="12"/>
      <c r="K95" s="12"/>
      <c r="L95" s="12">
        <f t="shared" si="34"/>
        <v>0</v>
      </c>
      <c r="M95" s="12"/>
      <c r="N95" s="12"/>
      <c r="O95" s="12"/>
      <c r="P95" s="12">
        <f t="shared" si="35"/>
        <v>0</v>
      </c>
      <c r="Q95" s="13"/>
      <c r="R95" s="12">
        <f t="shared" si="36"/>
        <v>2471000</v>
      </c>
      <c r="S95" s="12">
        <f t="shared" si="36"/>
        <v>2323782.17</v>
      </c>
      <c r="T95" s="14">
        <f t="shared" si="37"/>
        <v>147217.83000000007</v>
      </c>
      <c r="U95" s="17">
        <f t="shared" si="26"/>
        <v>0.94042176042088221</v>
      </c>
    </row>
    <row r="96" spans="2:21" ht="24.95" customHeight="1">
      <c r="B96" s="18"/>
      <c r="C96" s="10"/>
      <c r="D96" s="10"/>
      <c r="E96" s="22" t="s">
        <v>89</v>
      </c>
      <c r="F96" s="12">
        <v>8401000</v>
      </c>
      <c r="G96" s="12">
        <v>2088041.9</v>
      </c>
      <c r="H96" s="12">
        <f t="shared" si="33"/>
        <v>6312958.0999999996</v>
      </c>
      <c r="I96" s="13"/>
      <c r="J96" s="12"/>
      <c r="K96" s="12"/>
      <c r="L96" s="12">
        <f t="shared" si="34"/>
        <v>0</v>
      </c>
      <c r="M96" s="12"/>
      <c r="N96" s="12"/>
      <c r="O96" s="12"/>
      <c r="P96" s="12">
        <f t="shared" si="35"/>
        <v>0</v>
      </c>
      <c r="Q96" s="13"/>
      <c r="R96" s="12">
        <f t="shared" si="36"/>
        <v>8401000</v>
      </c>
      <c r="S96" s="12">
        <f t="shared" si="36"/>
        <v>2088041.9</v>
      </c>
      <c r="T96" s="14">
        <f t="shared" si="37"/>
        <v>6312958.0999999996</v>
      </c>
      <c r="U96" s="17">
        <f t="shared" si="26"/>
        <v>0.24854682775860015</v>
      </c>
    </row>
    <row r="97" spans="2:25" ht="24.95" customHeight="1">
      <c r="B97" s="18"/>
      <c r="C97" s="10"/>
      <c r="D97" s="10"/>
      <c r="E97" s="28" t="s">
        <v>90</v>
      </c>
      <c r="F97" s="12">
        <v>1329000</v>
      </c>
      <c r="G97" s="12">
        <v>1329000</v>
      </c>
      <c r="H97" s="12">
        <f t="shared" si="33"/>
        <v>0</v>
      </c>
      <c r="I97" s="13"/>
      <c r="J97" s="12"/>
      <c r="K97" s="12"/>
      <c r="L97" s="12">
        <f t="shared" si="34"/>
        <v>0</v>
      </c>
      <c r="M97" s="12"/>
      <c r="N97" s="12"/>
      <c r="O97" s="12"/>
      <c r="P97" s="12">
        <f t="shared" si="35"/>
        <v>0</v>
      </c>
      <c r="Q97" s="13"/>
      <c r="R97" s="12">
        <f t="shared" si="36"/>
        <v>1329000</v>
      </c>
      <c r="S97" s="12">
        <f t="shared" si="36"/>
        <v>1329000</v>
      </c>
      <c r="T97" s="14">
        <f t="shared" si="37"/>
        <v>0</v>
      </c>
      <c r="U97" s="17">
        <f t="shared" si="26"/>
        <v>1</v>
      </c>
    </row>
    <row r="98" spans="2:25" ht="28.5" customHeight="1">
      <c r="B98" s="18"/>
      <c r="C98" s="10"/>
      <c r="D98" s="10"/>
      <c r="E98" s="43" t="s">
        <v>91</v>
      </c>
      <c r="F98" s="12">
        <v>1820000</v>
      </c>
      <c r="G98" s="12">
        <v>1295852.8</v>
      </c>
      <c r="H98" s="12">
        <f t="shared" si="33"/>
        <v>524147.19999999995</v>
      </c>
      <c r="I98" s="13"/>
      <c r="J98" s="12"/>
      <c r="K98" s="12"/>
      <c r="L98" s="12">
        <f t="shared" si="34"/>
        <v>0</v>
      </c>
      <c r="M98" s="12"/>
      <c r="N98" s="12">
        <v>1123000</v>
      </c>
      <c r="O98" s="12">
        <v>1122231.6100000001</v>
      </c>
      <c r="P98" s="12">
        <f t="shared" si="35"/>
        <v>768.38999999989755</v>
      </c>
      <c r="Q98" s="13"/>
      <c r="R98" s="12">
        <f>+F98+J98+N98</f>
        <v>2943000</v>
      </c>
      <c r="S98" s="12">
        <f>+G98+K98+O98</f>
        <v>2418084.41</v>
      </c>
      <c r="T98" s="14">
        <f t="shared" si="37"/>
        <v>524915.58999999985</v>
      </c>
      <c r="U98" s="17">
        <f t="shared" si="26"/>
        <v>0.8216392830445125</v>
      </c>
    </row>
    <row r="99" spans="2:25" ht="24.95" customHeight="1">
      <c r="B99" s="18"/>
      <c r="C99" s="10"/>
      <c r="D99" s="10"/>
      <c r="E99" s="43"/>
      <c r="F99" s="12"/>
      <c r="G99" s="12"/>
      <c r="H99" s="12"/>
      <c r="I99" s="13"/>
      <c r="J99" s="12"/>
      <c r="K99" s="12"/>
      <c r="L99" s="12"/>
      <c r="M99" s="12"/>
      <c r="N99" s="12"/>
      <c r="O99" s="12"/>
      <c r="P99" s="12"/>
      <c r="Q99" s="13"/>
      <c r="R99" s="12"/>
      <c r="S99" s="12"/>
      <c r="T99" s="14"/>
      <c r="U99" s="17"/>
    </row>
    <row r="100" spans="2:25" ht="24.95" customHeight="1">
      <c r="B100" s="18"/>
      <c r="C100" s="20" t="s">
        <v>92</v>
      </c>
      <c r="D100" s="20"/>
      <c r="E100" s="10"/>
      <c r="F100" s="12"/>
      <c r="G100" s="12"/>
      <c r="H100" s="12"/>
      <c r="I100" s="13"/>
      <c r="J100" s="12"/>
      <c r="K100" s="12"/>
      <c r="L100" s="12"/>
      <c r="M100" s="12"/>
      <c r="N100" s="12"/>
      <c r="O100" s="12"/>
      <c r="P100" s="12"/>
      <c r="Q100" s="13"/>
      <c r="R100" s="12"/>
      <c r="S100" s="12"/>
      <c r="T100" s="14"/>
      <c r="U100" s="17"/>
    </row>
    <row r="101" spans="2:25" ht="24.95" customHeight="1">
      <c r="B101" s="18"/>
      <c r="C101" s="20"/>
      <c r="D101" s="20"/>
      <c r="E101" s="10" t="s">
        <v>93</v>
      </c>
      <c r="F101" s="12">
        <v>11860000</v>
      </c>
      <c r="G101" s="12">
        <v>11722181.48</v>
      </c>
      <c r="H101" s="12">
        <f>+F101-G101</f>
        <v>137818.51999999955</v>
      </c>
      <c r="I101" s="13"/>
      <c r="J101" s="12"/>
      <c r="K101" s="12"/>
      <c r="L101" s="12">
        <f>+J101-K101</f>
        <v>0</v>
      </c>
      <c r="M101" s="12"/>
      <c r="N101" s="12"/>
      <c r="O101" s="12"/>
      <c r="P101" s="12">
        <f>+N101-O101</f>
        <v>0</v>
      </c>
      <c r="Q101" s="13"/>
      <c r="R101" s="12">
        <f t="shared" ref="R101:S103" si="38">+F101+J101+N101</f>
        <v>11860000</v>
      </c>
      <c r="S101" s="12">
        <f t="shared" si="38"/>
        <v>11722181.48</v>
      </c>
      <c r="T101" s="14">
        <f>+R101-S101</f>
        <v>137818.51999999955</v>
      </c>
      <c r="U101" s="17">
        <f t="shared" si="26"/>
        <v>0.98837955143338962</v>
      </c>
    </row>
    <row r="102" spans="2:25" ht="29.25" customHeight="1">
      <c r="B102" s="18"/>
      <c r="C102" s="10"/>
      <c r="D102" s="10"/>
      <c r="E102" s="22" t="s">
        <v>94</v>
      </c>
      <c r="F102" s="12">
        <v>18239000</v>
      </c>
      <c r="G102" s="12">
        <v>9126105.1600000001</v>
      </c>
      <c r="H102" s="12">
        <f>+F102-G102</f>
        <v>9112894.8399999999</v>
      </c>
      <c r="I102" s="13"/>
      <c r="J102" s="12"/>
      <c r="K102" s="12"/>
      <c r="L102" s="12">
        <f>+J102-K102</f>
        <v>0</v>
      </c>
      <c r="M102" s="12"/>
      <c r="N102" s="12"/>
      <c r="O102" s="12"/>
      <c r="P102" s="12">
        <f>+N102-O102</f>
        <v>0</v>
      </c>
      <c r="Q102" s="13"/>
      <c r="R102" s="12">
        <f t="shared" si="38"/>
        <v>18239000</v>
      </c>
      <c r="S102" s="12">
        <f t="shared" si="38"/>
        <v>9126105.1600000001</v>
      </c>
      <c r="T102" s="14">
        <f>+R102-S102</f>
        <v>9112894.8399999999</v>
      </c>
      <c r="U102" s="17">
        <f t="shared" si="26"/>
        <v>0.50036214485443287</v>
      </c>
    </row>
    <row r="103" spans="2:25" ht="29.25" customHeight="1">
      <c r="B103" s="18"/>
      <c r="C103" s="10"/>
      <c r="D103" s="10"/>
      <c r="E103" s="22" t="s">
        <v>95</v>
      </c>
      <c r="F103" s="12">
        <v>1637000</v>
      </c>
      <c r="G103" s="12">
        <v>1155875.31</v>
      </c>
      <c r="H103" s="12">
        <f>+F103-G103</f>
        <v>481124.68999999994</v>
      </c>
      <c r="I103" s="13"/>
      <c r="J103" s="12"/>
      <c r="K103" s="12"/>
      <c r="L103" s="12">
        <f>+J103-K103</f>
        <v>0</v>
      </c>
      <c r="M103" s="12"/>
      <c r="N103" s="12"/>
      <c r="O103" s="12"/>
      <c r="P103" s="12">
        <f>+N103-O103</f>
        <v>0</v>
      </c>
      <c r="Q103" s="13"/>
      <c r="R103" s="12">
        <f t="shared" si="38"/>
        <v>1637000</v>
      </c>
      <c r="S103" s="12">
        <f t="shared" si="38"/>
        <v>1155875.31</v>
      </c>
      <c r="T103" s="14">
        <f>+R103-S103</f>
        <v>481124.68999999994</v>
      </c>
      <c r="U103" s="17">
        <f t="shared" si="26"/>
        <v>0.7060936530238241</v>
      </c>
    </row>
    <row r="104" spans="2:25" ht="27.75" customHeight="1">
      <c r="B104" s="18"/>
      <c r="C104" s="10"/>
      <c r="D104" s="10"/>
      <c r="E104" s="31" t="s">
        <v>51</v>
      </c>
      <c r="F104" s="32">
        <f>SUM(F85:F103)</f>
        <v>273811000</v>
      </c>
      <c r="G104" s="32">
        <f t="shared" ref="G104:S104" si="39">SUM(G85:G103)</f>
        <v>152586978.09999999</v>
      </c>
      <c r="H104" s="32">
        <f t="shared" si="39"/>
        <v>121224021.89999999</v>
      </c>
      <c r="I104" s="32">
        <f t="shared" si="39"/>
        <v>0</v>
      </c>
      <c r="J104" s="32">
        <f>SUM(J85:J103)</f>
        <v>0</v>
      </c>
      <c r="K104" s="32">
        <f>SUM(K85:K103)</f>
        <v>0</v>
      </c>
      <c r="L104" s="32">
        <f>SUM(L85:L103)</f>
        <v>0</v>
      </c>
      <c r="M104" s="32">
        <f t="shared" si="39"/>
        <v>0</v>
      </c>
      <c r="N104" s="32">
        <f>SUM(N85:N103)</f>
        <v>1123000</v>
      </c>
      <c r="O104" s="32">
        <f>SUM(O85:O103)</f>
        <v>24643909.890000001</v>
      </c>
      <c r="P104" s="32">
        <f>SUM(P85:P103)</f>
        <v>-23520909.890000001</v>
      </c>
      <c r="Q104" s="32">
        <f t="shared" si="39"/>
        <v>0</v>
      </c>
      <c r="R104" s="32">
        <f t="shared" si="39"/>
        <v>274934000</v>
      </c>
      <c r="S104" s="32">
        <f t="shared" si="39"/>
        <v>177230887.98999995</v>
      </c>
      <c r="T104" s="34">
        <f>SUM(T85:T103)</f>
        <v>97703112.00999999</v>
      </c>
      <c r="U104" s="17">
        <f t="shared" si="26"/>
        <v>0.64463066768751753</v>
      </c>
    </row>
    <row r="105" spans="2:25" ht="24.95" customHeight="1">
      <c r="B105" s="18"/>
      <c r="C105" s="10"/>
      <c r="D105" s="10"/>
      <c r="E105" s="22"/>
      <c r="F105" s="12"/>
      <c r="G105" s="12"/>
      <c r="H105" s="12"/>
      <c r="I105" s="13"/>
      <c r="J105" s="12"/>
      <c r="K105" s="12"/>
      <c r="L105" s="12"/>
      <c r="M105" s="12"/>
      <c r="N105" s="12"/>
      <c r="O105" s="12"/>
      <c r="P105" s="12"/>
      <c r="Q105" s="13"/>
      <c r="R105" s="12"/>
      <c r="S105" s="12"/>
      <c r="T105" s="14"/>
      <c r="U105" s="17"/>
      <c r="Y105" s="2" t="s">
        <v>96</v>
      </c>
    </row>
    <row r="106" spans="2:25" ht="24.95" customHeight="1">
      <c r="B106" s="18"/>
      <c r="C106" s="24" t="s">
        <v>97</v>
      </c>
      <c r="D106" s="10"/>
      <c r="E106" s="22"/>
      <c r="F106" s="12">
        <f>SUM(F108:F136)</f>
        <v>496476996</v>
      </c>
      <c r="G106" s="12">
        <f>SUM(G108:G136)</f>
        <v>327999472.9600001</v>
      </c>
      <c r="H106" s="12">
        <f t="shared" ref="H106:T106" si="40">SUM(H108:H136)</f>
        <v>168477523.03999999</v>
      </c>
      <c r="I106" s="12">
        <f t="shared" si="40"/>
        <v>0</v>
      </c>
      <c r="J106" s="12">
        <f>SUM(J108:J136)</f>
        <v>9712800</v>
      </c>
      <c r="K106" s="12">
        <f>SUM(K108:K136)</f>
        <v>8221191.4299999997</v>
      </c>
      <c r="L106" s="12">
        <f>SUM(L108:L136)</f>
        <v>1491608.5700000003</v>
      </c>
      <c r="M106" s="12">
        <f t="shared" si="40"/>
        <v>0</v>
      </c>
      <c r="N106" s="12">
        <f>SUM(N108:N136)</f>
        <v>38433670</v>
      </c>
      <c r="O106" s="12">
        <f>SUM(O108:O136)</f>
        <v>38252549.890000001</v>
      </c>
      <c r="P106" s="12">
        <f>SUM(P108:P136)</f>
        <v>181120.10999999946</v>
      </c>
      <c r="Q106" s="12">
        <f t="shared" si="40"/>
        <v>0</v>
      </c>
      <c r="R106" s="12">
        <f t="shared" si="40"/>
        <v>544623466</v>
      </c>
      <c r="S106" s="12">
        <f t="shared" si="40"/>
        <v>374473214.28000009</v>
      </c>
      <c r="T106" s="14">
        <f t="shared" si="40"/>
        <v>170150251.72000003</v>
      </c>
      <c r="U106" s="17">
        <f>+S106/R106</f>
        <v>0.68758185729734989</v>
      </c>
    </row>
    <row r="107" spans="2:25" ht="24.95" customHeight="1">
      <c r="B107" s="18"/>
      <c r="C107" s="20" t="s">
        <v>98</v>
      </c>
      <c r="D107" s="20"/>
      <c r="E107" s="10"/>
      <c r="F107" s="12"/>
      <c r="G107" s="12"/>
      <c r="H107" s="12">
        <f t="shared" ref="H107:H115" si="41">+F107-G107</f>
        <v>0</v>
      </c>
      <c r="I107" s="13"/>
      <c r="J107" s="12"/>
      <c r="K107" s="12"/>
      <c r="L107" s="12">
        <f t="shared" ref="L107:L115" si="42">+J107-K107</f>
        <v>0</v>
      </c>
      <c r="M107" s="12"/>
      <c r="N107" s="12"/>
      <c r="O107" s="12"/>
      <c r="P107" s="12">
        <f t="shared" ref="P107:P115" si="43">+N107-O107</f>
        <v>0</v>
      </c>
      <c r="Q107" s="13"/>
      <c r="R107" s="12"/>
      <c r="S107" s="12"/>
      <c r="T107" s="14"/>
      <c r="U107" s="17"/>
    </row>
    <row r="108" spans="2:25" ht="24.95" customHeight="1">
      <c r="B108" s="18"/>
      <c r="C108" s="20"/>
      <c r="D108" s="20"/>
      <c r="E108" s="10" t="s">
        <v>99</v>
      </c>
      <c r="F108" s="12">
        <v>16835000</v>
      </c>
      <c r="G108" s="12">
        <v>10845369.890000001</v>
      </c>
      <c r="H108" s="12">
        <f t="shared" si="41"/>
        <v>5989630.1099999994</v>
      </c>
      <c r="I108" s="13"/>
      <c r="J108" s="12"/>
      <c r="K108" s="12"/>
      <c r="L108" s="12">
        <f t="shared" si="42"/>
        <v>0</v>
      </c>
      <c r="M108" s="12"/>
      <c r="N108" s="12">
        <v>452279</v>
      </c>
      <c r="O108" s="12">
        <v>271471.33</v>
      </c>
      <c r="P108" s="12">
        <f t="shared" si="43"/>
        <v>180807.66999999998</v>
      </c>
      <c r="Q108" s="13"/>
      <c r="R108" s="12">
        <f t="shared" ref="R108:S115" si="44">+F108+J108+N108</f>
        <v>17287279</v>
      </c>
      <c r="S108" s="12">
        <f t="shared" si="44"/>
        <v>11116841.220000001</v>
      </c>
      <c r="T108" s="14">
        <f t="shared" ref="T108:T115" si="45">+R108-S108</f>
        <v>6170437.7799999993</v>
      </c>
      <c r="U108" s="17">
        <f t="shared" si="26"/>
        <v>0.64306483513108115</v>
      </c>
    </row>
    <row r="109" spans="2:25" ht="27" customHeight="1">
      <c r="B109" s="18"/>
      <c r="C109" s="10"/>
      <c r="D109" s="10"/>
      <c r="E109" s="22" t="s">
        <v>100</v>
      </c>
      <c r="F109" s="12">
        <v>18213000</v>
      </c>
      <c r="G109" s="12">
        <v>14736352.34</v>
      </c>
      <c r="H109" s="12">
        <f t="shared" si="41"/>
        <v>3476647.66</v>
      </c>
      <c r="I109" s="13"/>
      <c r="J109" s="12"/>
      <c r="K109" s="12"/>
      <c r="L109" s="12">
        <f t="shared" si="42"/>
        <v>0</v>
      </c>
      <c r="M109" s="12"/>
      <c r="N109" s="12"/>
      <c r="O109" s="12"/>
      <c r="P109" s="12">
        <f t="shared" si="43"/>
        <v>0</v>
      </c>
      <c r="Q109" s="13"/>
      <c r="R109" s="12">
        <f t="shared" si="44"/>
        <v>18213000</v>
      </c>
      <c r="S109" s="12">
        <f t="shared" si="44"/>
        <v>14736352.34</v>
      </c>
      <c r="T109" s="14">
        <f t="shared" si="45"/>
        <v>3476647.66</v>
      </c>
      <c r="U109" s="17">
        <f t="shared" si="26"/>
        <v>0.80911175204524244</v>
      </c>
    </row>
    <row r="110" spans="2:25" ht="27" customHeight="1">
      <c r="B110" s="18"/>
      <c r="C110" s="10"/>
      <c r="D110" s="10"/>
      <c r="E110" s="22" t="s">
        <v>101</v>
      </c>
      <c r="F110" s="12">
        <v>2617000</v>
      </c>
      <c r="G110" s="12">
        <v>1983995.5</v>
      </c>
      <c r="H110" s="12">
        <f t="shared" si="41"/>
        <v>633004.5</v>
      </c>
      <c r="I110" s="13"/>
      <c r="J110" s="12"/>
      <c r="K110" s="12"/>
      <c r="L110" s="12">
        <f t="shared" si="42"/>
        <v>0</v>
      </c>
      <c r="M110" s="12"/>
      <c r="N110" s="12"/>
      <c r="O110" s="12"/>
      <c r="P110" s="12">
        <f t="shared" si="43"/>
        <v>0</v>
      </c>
      <c r="Q110" s="13"/>
      <c r="R110" s="12">
        <f t="shared" si="44"/>
        <v>2617000</v>
      </c>
      <c r="S110" s="12">
        <f t="shared" si="44"/>
        <v>1983995.5</v>
      </c>
      <c r="T110" s="14">
        <f t="shared" si="45"/>
        <v>633004.5</v>
      </c>
      <c r="U110" s="17">
        <f t="shared" si="26"/>
        <v>0.75811826518914793</v>
      </c>
    </row>
    <row r="111" spans="2:25" ht="29.25" customHeight="1">
      <c r="B111" s="18"/>
      <c r="C111" s="10"/>
      <c r="D111" s="10"/>
      <c r="E111" s="22" t="s">
        <v>102</v>
      </c>
      <c r="F111" s="12">
        <v>1316000</v>
      </c>
      <c r="G111" s="12">
        <v>893563.33999999985</v>
      </c>
      <c r="H111" s="12">
        <f t="shared" si="41"/>
        <v>422436.66000000015</v>
      </c>
      <c r="I111" s="13"/>
      <c r="J111" s="12"/>
      <c r="K111" s="12"/>
      <c r="L111" s="12">
        <f t="shared" si="42"/>
        <v>0</v>
      </c>
      <c r="M111" s="12"/>
      <c r="N111" s="12"/>
      <c r="O111" s="12"/>
      <c r="P111" s="12">
        <f t="shared" si="43"/>
        <v>0</v>
      </c>
      <c r="Q111" s="13"/>
      <c r="R111" s="12">
        <f t="shared" si="44"/>
        <v>1316000</v>
      </c>
      <c r="S111" s="12">
        <f t="shared" si="44"/>
        <v>893563.33999999985</v>
      </c>
      <c r="T111" s="14">
        <f t="shared" si="45"/>
        <v>422436.66000000015</v>
      </c>
      <c r="U111" s="17">
        <f t="shared" si="26"/>
        <v>0.6789994984802431</v>
      </c>
    </row>
    <row r="112" spans="2:25" ht="24.95" customHeight="1">
      <c r="B112" s="18"/>
      <c r="C112" s="10"/>
      <c r="D112" s="10"/>
      <c r="E112" s="28" t="s">
        <v>103</v>
      </c>
      <c r="F112" s="12">
        <v>894000</v>
      </c>
      <c r="G112" s="12">
        <v>452578.15</v>
      </c>
      <c r="H112" s="12">
        <f t="shared" si="41"/>
        <v>441421.85</v>
      </c>
      <c r="I112" s="13"/>
      <c r="J112" s="12"/>
      <c r="K112" s="12"/>
      <c r="L112" s="12">
        <f t="shared" si="42"/>
        <v>0</v>
      </c>
      <c r="M112" s="12"/>
      <c r="N112" s="12"/>
      <c r="O112" s="12"/>
      <c r="P112" s="12">
        <f t="shared" si="43"/>
        <v>0</v>
      </c>
      <c r="Q112" s="13"/>
      <c r="R112" s="12">
        <f t="shared" si="44"/>
        <v>894000</v>
      </c>
      <c r="S112" s="12">
        <f t="shared" si="44"/>
        <v>452578.15</v>
      </c>
      <c r="T112" s="14">
        <f t="shared" si="45"/>
        <v>441421.85</v>
      </c>
      <c r="U112" s="17">
        <f t="shared" si="26"/>
        <v>0.50623954138702465</v>
      </c>
    </row>
    <row r="113" spans="2:22" ht="24.95" customHeight="1">
      <c r="B113" s="18"/>
      <c r="C113" s="10"/>
      <c r="D113" s="10"/>
      <c r="E113" s="22" t="s">
        <v>104</v>
      </c>
      <c r="F113" s="12">
        <v>2814000</v>
      </c>
      <c r="G113" s="12">
        <v>2073653.41</v>
      </c>
      <c r="H113" s="12">
        <f t="shared" si="41"/>
        <v>740346.59000000008</v>
      </c>
      <c r="I113" s="13"/>
      <c r="J113" s="12"/>
      <c r="K113" s="12"/>
      <c r="L113" s="12">
        <f t="shared" si="42"/>
        <v>0</v>
      </c>
      <c r="M113" s="12"/>
      <c r="N113" s="12"/>
      <c r="O113" s="12"/>
      <c r="P113" s="12">
        <f t="shared" si="43"/>
        <v>0</v>
      </c>
      <c r="Q113" s="13"/>
      <c r="R113" s="12">
        <f t="shared" si="44"/>
        <v>2814000</v>
      </c>
      <c r="S113" s="12">
        <f t="shared" si="44"/>
        <v>2073653.41</v>
      </c>
      <c r="T113" s="14">
        <f t="shared" si="45"/>
        <v>740346.59000000008</v>
      </c>
      <c r="U113" s="17">
        <f t="shared" si="26"/>
        <v>0.736905973702914</v>
      </c>
    </row>
    <row r="114" spans="2:22" ht="29.25" customHeight="1">
      <c r="B114" s="18"/>
      <c r="C114" s="10"/>
      <c r="D114" s="10"/>
      <c r="E114" s="22" t="s">
        <v>105</v>
      </c>
      <c r="F114" s="12">
        <v>5681000</v>
      </c>
      <c r="G114" s="12">
        <v>5364644.7</v>
      </c>
      <c r="H114" s="12">
        <f t="shared" si="41"/>
        <v>316355.29999999981</v>
      </c>
      <c r="I114" s="13"/>
      <c r="J114" s="12"/>
      <c r="K114" s="12"/>
      <c r="L114" s="12">
        <f t="shared" si="42"/>
        <v>0</v>
      </c>
      <c r="M114" s="12"/>
      <c r="N114" s="12"/>
      <c r="O114" s="12"/>
      <c r="P114" s="12">
        <f t="shared" si="43"/>
        <v>0</v>
      </c>
      <c r="Q114" s="13"/>
      <c r="R114" s="12">
        <f t="shared" si="44"/>
        <v>5681000</v>
      </c>
      <c r="S114" s="12">
        <f t="shared" si="44"/>
        <v>5364644.7</v>
      </c>
      <c r="T114" s="14">
        <f t="shared" si="45"/>
        <v>316355.29999999981</v>
      </c>
      <c r="U114" s="17">
        <f t="shared" si="26"/>
        <v>0.9443134483365605</v>
      </c>
    </row>
    <row r="115" spans="2:22" ht="29.25" customHeight="1">
      <c r="B115" s="18"/>
      <c r="C115" s="10"/>
      <c r="D115" s="10"/>
      <c r="E115" s="21" t="s">
        <v>106</v>
      </c>
      <c r="F115" s="12">
        <v>2688000</v>
      </c>
      <c r="G115" s="12">
        <v>2411019.0499999998</v>
      </c>
      <c r="H115" s="12">
        <f t="shared" si="41"/>
        <v>276980.95000000019</v>
      </c>
      <c r="I115" s="13"/>
      <c r="J115" s="12"/>
      <c r="K115" s="12"/>
      <c r="L115" s="12">
        <f t="shared" si="42"/>
        <v>0</v>
      </c>
      <c r="M115" s="12"/>
      <c r="N115" s="12"/>
      <c r="O115" s="12"/>
      <c r="P115" s="12">
        <f t="shared" si="43"/>
        <v>0</v>
      </c>
      <c r="Q115" s="13"/>
      <c r="R115" s="12">
        <f t="shared" si="44"/>
        <v>2688000</v>
      </c>
      <c r="S115" s="12">
        <f t="shared" si="44"/>
        <v>2411019.0499999998</v>
      </c>
      <c r="T115" s="14">
        <f t="shared" si="45"/>
        <v>276980.95000000019</v>
      </c>
      <c r="U115" s="17">
        <f t="shared" si="26"/>
        <v>0.8969564918154761</v>
      </c>
    </row>
    <row r="116" spans="2:22" ht="24.95" customHeight="1">
      <c r="B116" s="18"/>
      <c r="C116" s="10"/>
      <c r="D116" s="10"/>
      <c r="E116" s="28"/>
      <c r="F116" s="12"/>
      <c r="G116" s="12"/>
      <c r="H116" s="12"/>
      <c r="I116" s="13"/>
      <c r="J116" s="12"/>
      <c r="K116" s="12"/>
      <c r="L116" s="12"/>
      <c r="M116" s="12"/>
      <c r="N116" s="12"/>
      <c r="O116" s="12"/>
      <c r="P116" s="12"/>
      <c r="Q116" s="13"/>
      <c r="R116" s="12"/>
      <c r="S116" s="12"/>
      <c r="T116" s="14"/>
      <c r="U116" s="17"/>
    </row>
    <row r="117" spans="2:22" ht="24.95" customHeight="1">
      <c r="B117" s="18"/>
      <c r="C117" s="20" t="s">
        <v>107</v>
      </c>
      <c r="D117" s="20"/>
      <c r="E117" s="10"/>
      <c r="F117" s="12"/>
      <c r="G117" s="12"/>
      <c r="H117" s="12"/>
      <c r="I117" s="13"/>
      <c r="J117" s="12"/>
      <c r="K117" s="12"/>
      <c r="L117" s="12"/>
      <c r="M117" s="12"/>
      <c r="N117" s="12"/>
      <c r="O117" s="12"/>
      <c r="P117" s="12"/>
      <c r="Q117" s="13"/>
      <c r="R117" s="12"/>
      <c r="S117" s="12"/>
      <c r="T117" s="14"/>
      <c r="U117" s="17"/>
    </row>
    <row r="118" spans="2:22" ht="24.95" customHeight="1">
      <c r="B118" s="18"/>
      <c r="C118" s="20"/>
      <c r="D118" s="20"/>
      <c r="E118" s="10" t="s">
        <v>108</v>
      </c>
      <c r="F118" s="12">
        <v>86008000</v>
      </c>
      <c r="G118" s="12">
        <v>26294412.670000002</v>
      </c>
      <c r="H118" s="12">
        <f>+F118-G118</f>
        <v>59713587.329999998</v>
      </c>
      <c r="I118" s="13"/>
      <c r="J118" s="12"/>
      <c r="K118" s="12"/>
      <c r="L118" s="12">
        <f>+J118-K118</f>
        <v>0</v>
      </c>
      <c r="M118" s="12"/>
      <c r="N118" s="12">
        <v>13846046</v>
      </c>
      <c r="O118" s="12">
        <v>13845733.720000001</v>
      </c>
      <c r="P118" s="12">
        <f>+N118-O118</f>
        <v>312.27999999932945</v>
      </c>
      <c r="Q118" s="13"/>
      <c r="R118" s="12">
        <f t="shared" ref="R118:S121" si="46">+F118+J118+N118</f>
        <v>99854046</v>
      </c>
      <c r="S118" s="12">
        <f t="shared" si="46"/>
        <v>40140146.390000001</v>
      </c>
      <c r="T118" s="14">
        <f>+R118-S118</f>
        <v>59713899.609999999</v>
      </c>
      <c r="U118" s="17">
        <f t="shared" si="26"/>
        <v>0.40198818173076334</v>
      </c>
    </row>
    <row r="119" spans="2:22" ht="28.5" customHeight="1">
      <c r="B119" s="18"/>
      <c r="C119" s="10"/>
      <c r="D119" s="10"/>
      <c r="E119" s="21" t="s">
        <v>109</v>
      </c>
      <c r="F119" s="12">
        <v>23185000</v>
      </c>
      <c r="G119" s="12">
        <v>18467659.23</v>
      </c>
      <c r="H119" s="12">
        <f>+F119-G119</f>
        <v>4717340.7699999996</v>
      </c>
      <c r="I119" s="13"/>
      <c r="J119" s="12"/>
      <c r="K119" s="12"/>
      <c r="L119" s="12">
        <f>+J119-K119</f>
        <v>0</v>
      </c>
      <c r="M119" s="12"/>
      <c r="N119" s="12">
        <v>0</v>
      </c>
      <c r="O119" s="12"/>
      <c r="P119" s="12">
        <f>+N119-O119</f>
        <v>0</v>
      </c>
      <c r="Q119" s="13"/>
      <c r="R119" s="12">
        <f t="shared" si="46"/>
        <v>23185000</v>
      </c>
      <c r="S119" s="12">
        <f t="shared" si="46"/>
        <v>18467659.23</v>
      </c>
      <c r="T119" s="14">
        <f>+R119-S119</f>
        <v>4717340.7699999996</v>
      </c>
      <c r="U119" s="17">
        <f t="shared" si="26"/>
        <v>0.79653479534181582</v>
      </c>
    </row>
    <row r="120" spans="2:22" ht="28.5" customHeight="1">
      <c r="B120" s="18"/>
      <c r="C120" s="10"/>
      <c r="D120" s="10"/>
      <c r="E120" s="21" t="s">
        <v>110</v>
      </c>
      <c r="F120" s="12">
        <v>9567996</v>
      </c>
      <c r="G120" s="12">
        <v>8176183.1200000001</v>
      </c>
      <c r="H120" s="12">
        <f>+F120-G120</f>
        <v>1391812.88</v>
      </c>
      <c r="I120" s="13"/>
      <c r="J120" s="12"/>
      <c r="K120" s="12"/>
      <c r="L120" s="12">
        <f>+J120-K120</f>
        <v>0</v>
      </c>
      <c r="M120" s="12"/>
      <c r="N120" s="12">
        <v>0</v>
      </c>
      <c r="O120" s="12"/>
      <c r="P120" s="12">
        <f>+N120-O120</f>
        <v>0</v>
      </c>
      <c r="Q120" s="13"/>
      <c r="R120" s="12">
        <f t="shared" si="46"/>
        <v>9567996</v>
      </c>
      <c r="S120" s="12">
        <f t="shared" si="46"/>
        <v>8176183.1200000001</v>
      </c>
      <c r="T120" s="14">
        <f>+R120-S120</f>
        <v>1391812.88</v>
      </c>
      <c r="U120" s="17">
        <f t="shared" si="26"/>
        <v>0.85453454621009461</v>
      </c>
    </row>
    <row r="121" spans="2:22" ht="28.5" customHeight="1">
      <c r="B121" s="18"/>
      <c r="C121" s="10"/>
      <c r="D121" s="10"/>
      <c r="E121" s="22" t="s">
        <v>111</v>
      </c>
      <c r="F121" s="12">
        <v>9507000</v>
      </c>
      <c r="G121" s="12">
        <v>5672317.8099999996</v>
      </c>
      <c r="H121" s="12">
        <f>+F121-G121</f>
        <v>3834682.1900000004</v>
      </c>
      <c r="I121" s="13"/>
      <c r="J121" s="12"/>
      <c r="K121" s="12"/>
      <c r="L121" s="12">
        <f>+J121-K121</f>
        <v>0</v>
      </c>
      <c r="M121" s="12"/>
      <c r="N121" s="12">
        <v>0</v>
      </c>
      <c r="O121" s="12"/>
      <c r="P121" s="12">
        <f>+N121-O121</f>
        <v>0</v>
      </c>
      <c r="Q121" s="13"/>
      <c r="R121" s="12">
        <f t="shared" si="46"/>
        <v>9507000</v>
      </c>
      <c r="S121" s="12">
        <f t="shared" si="46"/>
        <v>5672317.8099999996</v>
      </c>
      <c r="T121" s="14">
        <f>+R121-S121</f>
        <v>3834682.1900000004</v>
      </c>
      <c r="U121" s="17">
        <f t="shared" si="26"/>
        <v>0.59664645103607861</v>
      </c>
    </row>
    <row r="122" spans="2:22" ht="24.95" customHeight="1">
      <c r="B122" s="18"/>
      <c r="C122" s="10"/>
      <c r="D122" s="10"/>
      <c r="E122" s="22"/>
      <c r="F122" s="12"/>
      <c r="G122" s="12"/>
      <c r="H122" s="12"/>
      <c r="I122" s="13"/>
      <c r="J122" s="12"/>
      <c r="K122" s="12"/>
      <c r="L122" s="12"/>
      <c r="M122" s="12"/>
      <c r="N122" s="12"/>
      <c r="O122" s="12"/>
      <c r="P122" s="12"/>
      <c r="Q122" s="13"/>
      <c r="R122" s="12"/>
      <c r="S122" s="12"/>
      <c r="T122" s="14"/>
      <c r="U122" s="17"/>
    </row>
    <row r="123" spans="2:22" ht="24.95" customHeight="1">
      <c r="B123" s="18"/>
      <c r="C123" s="20" t="s">
        <v>112</v>
      </c>
      <c r="D123" s="20"/>
      <c r="E123" s="10"/>
      <c r="F123" s="12"/>
      <c r="G123" s="12"/>
      <c r="H123" s="12"/>
      <c r="I123" s="13"/>
      <c r="J123" s="12"/>
      <c r="K123" s="12"/>
      <c r="L123" s="12"/>
      <c r="M123" s="12"/>
      <c r="N123" s="12"/>
      <c r="O123" s="12"/>
      <c r="P123" s="12"/>
      <c r="Q123" s="13"/>
      <c r="R123" s="12"/>
      <c r="S123" s="12"/>
      <c r="T123" s="14"/>
      <c r="U123" s="17"/>
    </row>
    <row r="124" spans="2:22" ht="24.95" customHeight="1">
      <c r="B124" s="18"/>
      <c r="C124" s="20"/>
      <c r="D124" s="20"/>
      <c r="E124" s="10" t="s">
        <v>113</v>
      </c>
      <c r="F124" s="12">
        <v>34811000</v>
      </c>
      <c r="G124" s="12">
        <v>35431431.350000001</v>
      </c>
      <c r="H124" s="12">
        <f>+F124-G124</f>
        <v>-620431.35000000149</v>
      </c>
      <c r="I124" s="13"/>
      <c r="J124" s="12">
        <v>9712800</v>
      </c>
      <c r="K124" s="12">
        <v>8221191.4299999997</v>
      </c>
      <c r="L124" s="12">
        <f>+J124-K124</f>
        <v>1491608.5700000003</v>
      </c>
      <c r="M124" s="12"/>
      <c r="N124" s="12">
        <v>24135345</v>
      </c>
      <c r="O124" s="12">
        <v>24135344.84</v>
      </c>
      <c r="P124" s="12">
        <f>+N124-O124</f>
        <v>0.16000000014901161</v>
      </c>
      <c r="Q124" s="13"/>
      <c r="R124" s="12">
        <f t="shared" ref="R124:S126" si="47">+F124+J124+N124</f>
        <v>68659145</v>
      </c>
      <c r="S124" s="12">
        <f t="shared" si="47"/>
        <v>67787967.620000005</v>
      </c>
      <c r="T124" s="14">
        <f>+R124-S124</f>
        <v>871177.37999999523</v>
      </c>
      <c r="U124" s="17">
        <f t="shared" si="26"/>
        <v>0.98731156089986272</v>
      </c>
      <c r="V124" s="2" t="s">
        <v>114</v>
      </c>
    </row>
    <row r="125" spans="2:22" ht="24.95" customHeight="1">
      <c r="B125" s="18"/>
      <c r="C125" s="10"/>
      <c r="D125" s="10"/>
      <c r="E125" s="22" t="s">
        <v>115</v>
      </c>
      <c r="F125" s="12">
        <v>39635000</v>
      </c>
      <c r="G125" s="12">
        <v>26919598.800000001</v>
      </c>
      <c r="H125" s="12">
        <f>+F125-G125</f>
        <v>12715401.199999999</v>
      </c>
      <c r="I125" s="13"/>
      <c r="J125" s="12"/>
      <c r="K125" s="12"/>
      <c r="L125" s="12">
        <f>+J125-K125</f>
        <v>0</v>
      </c>
      <c r="M125" s="12"/>
      <c r="N125" s="12"/>
      <c r="O125" s="12"/>
      <c r="P125" s="12">
        <f>+N125-O125</f>
        <v>0</v>
      </c>
      <c r="Q125" s="13"/>
      <c r="R125" s="12">
        <f t="shared" si="47"/>
        <v>39635000</v>
      </c>
      <c r="S125" s="12">
        <f t="shared" si="47"/>
        <v>26919598.800000001</v>
      </c>
      <c r="T125" s="14">
        <f>+R125-S125</f>
        <v>12715401.199999999</v>
      </c>
      <c r="U125" s="17">
        <f t="shared" si="26"/>
        <v>0.67918755645263029</v>
      </c>
    </row>
    <row r="126" spans="2:22" ht="28.5" customHeight="1">
      <c r="B126" s="18"/>
      <c r="C126" s="10"/>
      <c r="D126" s="10"/>
      <c r="E126" s="22" t="s">
        <v>116</v>
      </c>
      <c r="F126" s="12">
        <v>57090000</v>
      </c>
      <c r="G126" s="12">
        <v>49803674.859999999</v>
      </c>
      <c r="H126" s="12">
        <f>+F126-G126</f>
        <v>7286325.1400000006</v>
      </c>
      <c r="I126" s="13"/>
      <c r="J126" s="12"/>
      <c r="K126" s="12"/>
      <c r="L126" s="12">
        <f>+J126-K126</f>
        <v>0</v>
      </c>
      <c r="M126" s="12"/>
      <c r="N126" s="12"/>
      <c r="O126" s="12"/>
      <c r="P126" s="12">
        <f>+N126-O126</f>
        <v>0</v>
      </c>
      <c r="Q126" s="13"/>
      <c r="R126" s="12">
        <f t="shared" si="47"/>
        <v>57090000</v>
      </c>
      <c r="S126" s="12">
        <f t="shared" si="47"/>
        <v>49803674.859999999</v>
      </c>
      <c r="T126" s="14">
        <f>+R126-S126</f>
        <v>7286325.1400000006</v>
      </c>
      <c r="U126" s="17">
        <f t="shared" si="26"/>
        <v>0.87237125345944999</v>
      </c>
    </row>
    <row r="127" spans="2:22" ht="24.95" customHeight="1">
      <c r="B127" s="18"/>
      <c r="C127" s="10"/>
      <c r="D127" s="10"/>
      <c r="E127" s="22"/>
      <c r="F127" s="12"/>
      <c r="G127" s="12"/>
      <c r="H127" s="12"/>
      <c r="I127" s="13"/>
      <c r="J127" s="12"/>
      <c r="K127" s="12"/>
      <c r="L127" s="12"/>
      <c r="M127" s="12"/>
      <c r="N127" s="12"/>
      <c r="O127" s="12"/>
      <c r="P127" s="12"/>
      <c r="Q127" s="13"/>
      <c r="R127" s="12"/>
      <c r="S127" s="12"/>
      <c r="T127" s="14"/>
      <c r="U127" s="17"/>
    </row>
    <row r="128" spans="2:22" ht="24.95" customHeight="1">
      <c r="B128" s="18"/>
      <c r="C128" s="20" t="s">
        <v>117</v>
      </c>
      <c r="D128" s="20"/>
      <c r="E128" s="10"/>
      <c r="F128" s="12"/>
      <c r="G128" s="12"/>
      <c r="H128" s="12"/>
      <c r="I128" s="13"/>
      <c r="J128" s="12"/>
      <c r="K128" s="12"/>
      <c r="L128" s="12"/>
      <c r="M128" s="12"/>
      <c r="N128" s="12"/>
      <c r="O128" s="12"/>
      <c r="P128" s="12"/>
      <c r="Q128" s="13"/>
      <c r="R128" s="12"/>
      <c r="S128" s="12"/>
      <c r="T128" s="14"/>
      <c r="U128" s="17"/>
    </row>
    <row r="129" spans="2:21" ht="24.95" customHeight="1">
      <c r="B129" s="18"/>
      <c r="C129" s="20"/>
      <c r="D129" s="20"/>
      <c r="E129" s="10" t="s">
        <v>118</v>
      </c>
      <c r="F129" s="12">
        <v>11871000</v>
      </c>
      <c r="G129" s="12">
        <v>11864647.959999997</v>
      </c>
      <c r="H129" s="12">
        <f>+F129-G129</f>
        <v>6352.0400000028312</v>
      </c>
      <c r="I129" s="13"/>
      <c r="J129" s="12"/>
      <c r="K129" s="12"/>
      <c r="L129" s="12">
        <f>+J129-K129</f>
        <v>0</v>
      </c>
      <c r="M129" s="12"/>
      <c r="N129" s="12"/>
      <c r="O129" s="12"/>
      <c r="P129" s="12">
        <f>+N129-O129</f>
        <v>0</v>
      </c>
      <c r="Q129" s="13"/>
      <c r="R129" s="12">
        <f t="shared" ref="R129:S131" si="48">+F129+J129+N129</f>
        <v>11871000</v>
      </c>
      <c r="S129" s="12">
        <f t="shared" si="48"/>
        <v>11864647.959999997</v>
      </c>
      <c r="T129" s="14">
        <f>+R129-S129</f>
        <v>6352.0400000028312</v>
      </c>
      <c r="U129" s="17">
        <f t="shared" si="26"/>
        <v>0.99946491112795866</v>
      </c>
    </row>
    <row r="130" spans="2:21" ht="27.75" customHeight="1">
      <c r="B130" s="18"/>
      <c r="C130" s="10"/>
      <c r="D130" s="10"/>
      <c r="E130" s="22" t="s">
        <v>119</v>
      </c>
      <c r="F130" s="12">
        <v>66770000</v>
      </c>
      <c r="G130" s="12">
        <v>63748062.039999999</v>
      </c>
      <c r="H130" s="12">
        <f>+F130-G130</f>
        <v>3021937.9600000009</v>
      </c>
      <c r="I130" s="13"/>
      <c r="J130" s="12"/>
      <c r="K130" s="12"/>
      <c r="L130" s="12">
        <f>+J130-K130</f>
        <v>0</v>
      </c>
      <c r="M130" s="12"/>
      <c r="N130" s="12"/>
      <c r="O130" s="12"/>
      <c r="P130" s="12">
        <f>+N130-O130</f>
        <v>0</v>
      </c>
      <c r="Q130" s="13"/>
      <c r="R130" s="12">
        <f t="shared" si="48"/>
        <v>66770000</v>
      </c>
      <c r="S130" s="12">
        <f t="shared" si="48"/>
        <v>63748062.039999999</v>
      </c>
      <c r="T130" s="14">
        <f>+R130-S130</f>
        <v>3021937.9600000009</v>
      </c>
      <c r="U130" s="17">
        <f t="shared" si="26"/>
        <v>0.95474108192301932</v>
      </c>
    </row>
    <row r="131" spans="2:21" ht="24.95" customHeight="1">
      <c r="B131" s="18"/>
      <c r="C131" s="10"/>
      <c r="D131" s="10"/>
      <c r="E131" s="28" t="s">
        <v>120</v>
      </c>
      <c r="F131" s="12">
        <v>5553000</v>
      </c>
      <c r="G131" s="12">
        <v>1090004.1599999999</v>
      </c>
      <c r="H131" s="12">
        <f>+F131-G131</f>
        <v>4462995.84</v>
      </c>
      <c r="I131" s="13"/>
      <c r="J131" s="12"/>
      <c r="K131" s="12"/>
      <c r="L131" s="12">
        <f>+J131-K131</f>
        <v>0</v>
      </c>
      <c r="M131" s="12"/>
      <c r="N131" s="12"/>
      <c r="O131" s="12"/>
      <c r="P131" s="12">
        <f>+N131-O131</f>
        <v>0</v>
      </c>
      <c r="Q131" s="13"/>
      <c r="R131" s="12">
        <f t="shared" si="48"/>
        <v>5553000</v>
      </c>
      <c r="S131" s="12">
        <f t="shared" si="48"/>
        <v>1090004.1599999999</v>
      </c>
      <c r="T131" s="14">
        <f>+R131-S131</f>
        <v>4462995.84</v>
      </c>
      <c r="U131" s="17">
        <f t="shared" si="26"/>
        <v>0.19629104267963263</v>
      </c>
    </row>
    <row r="132" spans="2:21" ht="24.95" customHeight="1">
      <c r="B132" s="18"/>
      <c r="C132" s="10"/>
      <c r="D132" s="10"/>
      <c r="E132" s="28"/>
      <c r="F132" s="12"/>
      <c r="G132" s="12"/>
      <c r="H132" s="12"/>
      <c r="I132" s="13"/>
      <c r="J132" s="12"/>
      <c r="K132" s="12"/>
      <c r="L132" s="12"/>
      <c r="M132" s="12"/>
      <c r="N132" s="12"/>
      <c r="O132" s="12"/>
      <c r="P132" s="12"/>
      <c r="Q132" s="13"/>
      <c r="R132" s="12"/>
      <c r="S132" s="12"/>
      <c r="T132" s="14"/>
      <c r="U132" s="17"/>
    </row>
    <row r="133" spans="2:21" ht="24.95" customHeight="1">
      <c r="B133" s="18"/>
      <c r="C133" s="20" t="s">
        <v>121</v>
      </c>
      <c r="D133" s="20"/>
      <c r="E133" s="10"/>
      <c r="F133" s="12"/>
      <c r="G133" s="12"/>
      <c r="H133" s="12"/>
      <c r="I133" s="13"/>
      <c r="J133" s="12"/>
      <c r="K133" s="12"/>
      <c r="L133" s="12"/>
      <c r="M133" s="12"/>
      <c r="N133" s="12"/>
      <c r="O133" s="12"/>
      <c r="P133" s="12"/>
      <c r="Q133" s="13"/>
      <c r="R133" s="12"/>
      <c r="S133" s="12"/>
      <c r="T133" s="14"/>
      <c r="U133" s="17"/>
    </row>
    <row r="134" spans="2:21" ht="24.95" customHeight="1">
      <c r="B134" s="18"/>
      <c r="C134" s="20"/>
      <c r="D134" s="20"/>
      <c r="E134" s="10" t="s">
        <v>122</v>
      </c>
      <c r="F134" s="12">
        <v>74945000</v>
      </c>
      <c r="G134" s="12">
        <v>26214752.559999999</v>
      </c>
      <c r="H134" s="12">
        <f>+F134-G134</f>
        <v>48730247.439999998</v>
      </c>
      <c r="I134" s="13"/>
      <c r="J134" s="12"/>
      <c r="K134" s="12"/>
      <c r="L134" s="12">
        <f>+J134-K134</f>
        <v>0</v>
      </c>
      <c r="M134" s="12"/>
      <c r="N134" s="12"/>
      <c r="O134" s="12"/>
      <c r="P134" s="12">
        <f>+N134-O134</f>
        <v>0</v>
      </c>
      <c r="Q134" s="13"/>
      <c r="R134" s="12">
        <f t="shared" ref="R134:S136" si="49">+F134+J134+N134</f>
        <v>74945000</v>
      </c>
      <c r="S134" s="12">
        <f t="shared" si="49"/>
        <v>26214752.559999999</v>
      </c>
      <c r="T134" s="14">
        <f>+R134-S134</f>
        <v>48730247.439999998</v>
      </c>
      <c r="U134" s="17">
        <f t="shared" si="26"/>
        <v>0.34978654426579492</v>
      </c>
    </row>
    <row r="135" spans="2:21" ht="27.75" customHeight="1">
      <c r="B135" s="18"/>
      <c r="C135" s="10"/>
      <c r="D135" s="10"/>
      <c r="E135" s="22" t="s">
        <v>123</v>
      </c>
      <c r="F135" s="12">
        <v>19398000</v>
      </c>
      <c r="G135" s="12">
        <v>11676903.539999999</v>
      </c>
      <c r="H135" s="12">
        <f>+F135-G135</f>
        <v>7721096.4600000009</v>
      </c>
      <c r="I135" s="13"/>
      <c r="J135" s="12"/>
      <c r="K135" s="12"/>
      <c r="L135" s="12">
        <f>+J135-K135</f>
        <v>0</v>
      </c>
      <c r="M135" s="12"/>
      <c r="N135" s="12"/>
      <c r="O135" s="12"/>
      <c r="P135" s="12">
        <f>+N135-O135</f>
        <v>0</v>
      </c>
      <c r="Q135" s="13"/>
      <c r="R135" s="12">
        <f t="shared" si="49"/>
        <v>19398000</v>
      </c>
      <c r="S135" s="12">
        <f t="shared" si="49"/>
        <v>11676903.539999999</v>
      </c>
      <c r="T135" s="14">
        <f>+R135-S135</f>
        <v>7721096.4600000009</v>
      </c>
      <c r="U135" s="17">
        <f t="shared" si="26"/>
        <v>0.60196430250541288</v>
      </c>
    </row>
    <row r="136" spans="2:21" ht="27.75" customHeight="1">
      <c r="B136" s="18"/>
      <c r="C136" s="10"/>
      <c r="D136" s="10"/>
      <c r="E136" s="22" t="s">
        <v>124</v>
      </c>
      <c r="F136" s="12">
        <v>7078000</v>
      </c>
      <c r="G136" s="12">
        <v>3878648.48</v>
      </c>
      <c r="H136" s="12">
        <f>+F136-G136</f>
        <v>3199351.52</v>
      </c>
      <c r="I136" s="13"/>
      <c r="J136" s="12"/>
      <c r="K136" s="12"/>
      <c r="L136" s="12">
        <f>+J136-K136</f>
        <v>0</v>
      </c>
      <c r="M136" s="12"/>
      <c r="N136" s="12"/>
      <c r="O136" s="12"/>
      <c r="P136" s="12">
        <f>+N136-O136</f>
        <v>0</v>
      </c>
      <c r="Q136" s="13"/>
      <c r="R136" s="12">
        <f t="shared" si="49"/>
        <v>7078000</v>
      </c>
      <c r="S136" s="12">
        <f t="shared" si="49"/>
        <v>3878648.48</v>
      </c>
      <c r="T136" s="14">
        <f>+R136-S136</f>
        <v>3199351.52</v>
      </c>
      <c r="U136" s="17">
        <f t="shared" si="26"/>
        <v>0.54798650466233401</v>
      </c>
    </row>
    <row r="137" spans="2:21" ht="27.75" customHeight="1">
      <c r="B137" s="18"/>
      <c r="C137" s="10"/>
      <c r="D137" s="10"/>
      <c r="E137" s="31" t="s">
        <v>51</v>
      </c>
      <c r="F137" s="32">
        <f>SUM(F108:F136)</f>
        <v>496476996</v>
      </c>
      <c r="G137" s="32">
        <f t="shared" ref="G137:S137" si="50">SUM(G108:G136)</f>
        <v>327999472.9600001</v>
      </c>
      <c r="H137" s="32">
        <f t="shared" si="50"/>
        <v>168477523.03999999</v>
      </c>
      <c r="I137" s="32">
        <f t="shared" si="50"/>
        <v>0</v>
      </c>
      <c r="J137" s="32">
        <f>SUM(J108:J136)</f>
        <v>9712800</v>
      </c>
      <c r="K137" s="32">
        <f>SUM(K108:K136)</f>
        <v>8221191.4299999997</v>
      </c>
      <c r="L137" s="32">
        <f>SUM(L108:L136)</f>
        <v>1491608.5700000003</v>
      </c>
      <c r="M137" s="32">
        <f t="shared" si="50"/>
        <v>0</v>
      </c>
      <c r="N137" s="32">
        <f>SUM(N108:N136)</f>
        <v>38433670</v>
      </c>
      <c r="O137" s="32">
        <f>SUM(O108:O136)</f>
        <v>38252549.890000001</v>
      </c>
      <c r="P137" s="32">
        <f>SUM(P108:P136)</f>
        <v>181120.10999999946</v>
      </c>
      <c r="Q137" s="32">
        <f t="shared" si="50"/>
        <v>0</v>
      </c>
      <c r="R137" s="32">
        <f t="shared" si="50"/>
        <v>544623466</v>
      </c>
      <c r="S137" s="32">
        <f t="shared" si="50"/>
        <v>374473214.28000009</v>
      </c>
      <c r="T137" s="34">
        <f>SUM(T108:T136)</f>
        <v>170150251.72000003</v>
      </c>
      <c r="U137" s="17">
        <f t="shared" si="26"/>
        <v>0.68758185729734989</v>
      </c>
    </row>
    <row r="138" spans="2:21" ht="27.75" customHeight="1">
      <c r="B138" s="18"/>
      <c r="C138" s="10"/>
      <c r="D138" s="10"/>
      <c r="E138" s="31"/>
      <c r="F138" s="32"/>
      <c r="G138" s="32"/>
      <c r="H138" s="32"/>
      <c r="I138" s="33"/>
      <c r="J138" s="32"/>
      <c r="K138" s="32"/>
      <c r="L138" s="32"/>
      <c r="M138" s="32"/>
      <c r="N138" s="32"/>
      <c r="O138" s="32"/>
      <c r="P138" s="32"/>
      <c r="Q138" s="33"/>
      <c r="R138" s="32"/>
      <c r="S138" s="32"/>
      <c r="T138" s="34"/>
      <c r="U138" s="17"/>
    </row>
    <row r="139" spans="2:21" ht="27.75" customHeight="1">
      <c r="B139" s="18"/>
      <c r="C139" s="24" t="s">
        <v>147</v>
      </c>
      <c r="D139" s="10"/>
      <c r="E139" s="22"/>
      <c r="F139" s="32"/>
      <c r="G139" s="32"/>
      <c r="H139" s="32"/>
      <c r="I139" s="33"/>
      <c r="J139" s="32"/>
      <c r="K139" s="32"/>
      <c r="L139" s="32"/>
      <c r="M139" s="32"/>
      <c r="N139" s="32"/>
      <c r="O139" s="32"/>
      <c r="P139" s="32"/>
      <c r="Q139" s="33"/>
      <c r="R139" s="32"/>
      <c r="S139" s="32"/>
      <c r="T139" s="34"/>
      <c r="U139" s="17"/>
    </row>
    <row r="140" spans="2:21" ht="27.75" customHeight="1">
      <c r="B140" s="18"/>
      <c r="C140" s="10"/>
      <c r="D140" s="10"/>
      <c r="E140" s="10" t="s">
        <v>148</v>
      </c>
      <c r="F140" s="12">
        <v>12018000</v>
      </c>
      <c r="G140" s="12">
        <v>9417074.7200000007</v>
      </c>
      <c r="H140" s="12">
        <f>+F140-G140</f>
        <v>2600925.2799999993</v>
      </c>
      <c r="I140" s="13"/>
      <c r="J140" s="12"/>
      <c r="K140" s="12"/>
      <c r="L140" s="12">
        <f>+J140-K140</f>
        <v>0</v>
      </c>
      <c r="M140" s="12"/>
      <c r="N140" s="12"/>
      <c r="O140" s="12"/>
      <c r="P140" s="12">
        <f>+N140-O140</f>
        <v>0</v>
      </c>
      <c r="Q140" s="13"/>
      <c r="R140" s="12">
        <f t="shared" ref="R140:R141" si="51">+F140+J140+N140</f>
        <v>12018000</v>
      </c>
      <c r="S140" s="12">
        <f t="shared" ref="S140:S141" si="52">+G140+K140+O140</f>
        <v>9417074.7200000007</v>
      </c>
      <c r="T140" s="14">
        <f>+R140-S140</f>
        <v>2600925.2799999993</v>
      </c>
      <c r="U140" s="17">
        <f t="shared" ref="U140:U141" si="53">+S140/R140</f>
        <v>0.78358085538359135</v>
      </c>
    </row>
    <row r="141" spans="2:21" ht="27.75" customHeight="1">
      <c r="B141" s="18"/>
      <c r="C141" s="10"/>
      <c r="D141" s="10"/>
      <c r="E141" s="10" t="s">
        <v>149</v>
      </c>
      <c r="F141" s="12">
        <v>21739000</v>
      </c>
      <c r="G141" s="12">
        <v>11020908.35</v>
      </c>
      <c r="H141" s="12">
        <f>+F141-G141</f>
        <v>10718091.65</v>
      </c>
      <c r="I141" s="13"/>
      <c r="J141" s="12"/>
      <c r="K141" s="12"/>
      <c r="L141" s="12">
        <f>+J141-K141</f>
        <v>0</v>
      </c>
      <c r="M141" s="12"/>
      <c r="N141" s="12"/>
      <c r="O141" s="12"/>
      <c r="P141" s="12">
        <f>+N141-O141</f>
        <v>0</v>
      </c>
      <c r="Q141" s="13"/>
      <c r="R141" s="12">
        <f t="shared" si="51"/>
        <v>21739000</v>
      </c>
      <c r="S141" s="12">
        <f t="shared" si="52"/>
        <v>11020908.35</v>
      </c>
      <c r="T141" s="14">
        <f>+R141-S141</f>
        <v>10718091.65</v>
      </c>
      <c r="U141" s="17">
        <f t="shared" si="53"/>
        <v>0.50696482588895531</v>
      </c>
    </row>
    <row r="142" spans="2:21" ht="24.95" customHeight="1">
      <c r="B142" s="18"/>
      <c r="C142" s="10"/>
      <c r="D142" s="10"/>
      <c r="E142" s="22"/>
      <c r="F142" s="12"/>
      <c r="G142" s="12"/>
      <c r="H142" s="12"/>
      <c r="I142" s="13"/>
      <c r="J142" s="12"/>
      <c r="K142" s="12"/>
      <c r="L142" s="12"/>
      <c r="M142" s="12"/>
      <c r="N142" s="12"/>
      <c r="O142" s="12"/>
      <c r="P142" s="12"/>
      <c r="Q142" s="13"/>
      <c r="R142" s="12"/>
      <c r="S142" s="12"/>
      <c r="T142" s="14"/>
      <c r="U142" s="17"/>
    </row>
    <row r="143" spans="2:21" s="48" customFormat="1" ht="15.75" thickBot="1">
      <c r="B143" s="44"/>
      <c r="C143" s="24"/>
      <c r="D143" s="24"/>
      <c r="E143" s="45" t="s">
        <v>125</v>
      </c>
      <c r="F143" s="46">
        <f>+F8+F51+F81+F104+F137+F49+F50+F140+F141</f>
        <v>2114108140.9000001</v>
      </c>
      <c r="G143" s="46">
        <f t="shared" ref="G143:H143" si="54">+G8+G51+G81+G104+G137+G49+G50+G140+G141</f>
        <v>1561948809.73</v>
      </c>
      <c r="H143" s="46">
        <f t="shared" si="54"/>
        <v>552159331.16999996</v>
      </c>
      <c r="I143" s="46">
        <f t="shared" ref="I143:Q143" si="55">+I8+I51+I81+I104+I137+I49+I50</f>
        <v>2208000</v>
      </c>
      <c r="J143" s="46">
        <f>+J8+J51+J81+J104+J137+J49+J50+J140+J141</f>
        <v>9712800</v>
      </c>
      <c r="K143" s="46">
        <f t="shared" ref="K143:L143" si="56">+K8+K51+K81+K104+K137+K49+K50+K140+K141</f>
        <v>8221191.4299999997</v>
      </c>
      <c r="L143" s="46">
        <f t="shared" si="56"/>
        <v>1491608.5700000003</v>
      </c>
      <c r="M143" s="46">
        <f t="shared" si="55"/>
        <v>0</v>
      </c>
      <c r="N143" s="46">
        <f>+N8+N51+N81+N104+N137+N49+N50+N140+N141</f>
        <v>120248202</v>
      </c>
      <c r="O143" s="46">
        <f t="shared" ref="O143:P143" si="57">+O8+O51+O81+O104+O137+O49+O50+O140+O141</f>
        <v>111216096.23999999</v>
      </c>
      <c r="P143" s="46">
        <f t="shared" si="57"/>
        <v>9032105.7599999979</v>
      </c>
      <c r="Q143" s="46">
        <f t="shared" si="55"/>
        <v>0</v>
      </c>
      <c r="R143" s="46">
        <f>+R8+R51+R81+R104+R137+R49+R50+R140+R141</f>
        <v>2244069142.9000001</v>
      </c>
      <c r="S143" s="46">
        <f t="shared" ref="S143:T143" si="58">+S8+S51+S81+S104+S137+S49+S50+S140+S141</f>
        <v>1681386097.4000001</v>
      </c>
      <c r="T143" s="46">
        <f t="shared" si="58"/>
        <v>562683045.5</v>
      </c>
      <c r="U143" s="47">
        <f>+S143/R143</f>
        <v>0.74925770568154271</v>
      </c>
    </row>
    <row r="144" spans="2:21" ht="15.75" thickTop="1" thickBot="1">
      <c r="B144" s="49"/>
      <c r="C144" s="50"/>
      <c r="D144" s="50"/>
      <c r="E144" s="51"/>
      <c r="F144" s="52"/>
      <c r="G144" s="52"/>
      <c r="H144" s="52"/>
      <c r="I144" s="53"/>
      <c r="J144" s="54"/>
      <c r="K144" s="54"/>
      <c r="L144" s="54"/>
      <c r="M144" s="54"/>
      <c r="N144" s="54"/>
      <c r="O144" s="54"/>
      <c r="P144" s="54"/>
      <c r="Q144" s="53"/>
      <c r="R144" s="54"/>
      <c r="S144" s="54"/>
      <c r="T144" s="55"/>
      <c r="U144" s="56"/>
    </row>
    <row r="145" spans="6:20" ht="24.95" customHeight="1">
      <c r="F145" s="30">
        <f>+F143+J143</f>
        <v>2123820940.9000001</v>
      </c>
      <c r="G145" s="30">
        <f>+G143+K143</f>
        <v>1570170001.1600001</v>
      </c>
      <c r="H145" s="30">
        <f>+F145-G145</f>
        <v>553650939.74000001</v>
      </c>
      <c r="I145" s="30"/>
      <c r="J145" s="30"/>
      <c r="K145" s="30"/>
      <c r="L145" s="30"/>
      <c r="M145" s="30"/>
      <c r="N145" s="30"/>
      <c r="O145" s="30"/>
      <c r="P145" s="30"/>
      <c r="Q145" s="30"/>
      <c r="R145" s="30">
        <f>+R143-'[1]with %'!$R$139</f>
        <v>33757000</v>
      </c>
      <c r="S145" s="30">
        <f>+S143-'[1]with %'!$S$139</f>
        <v>20437983.069999933</v>
      </c>
      <c r="T145" s="30">
        <f>+T143-'[1]with %'!$T$139</f>
        <v>13319016.929999948</v>
      </c>
    </row>
    <row r="146" spans="6:20" ht="24.95" customHeight="1">
      <c r="F146" s="58" t="s">
        <v>126</v>
      </c>
      <c r="J146" s="58" t="s">
        <v>127</v>
      </c>
      <c r="K146" s="30"/>
      <c r="N146" s="58" t="s">
        <v>128</v>
      </c>
      <c r="R146" s="13"/>
      <c r="S146" s="13"/>
      <c r="T146" s="13"/>
    </row>
    <row r="147" spans="6:20" ht="24.95" customHeight="1">
      <c r="R147" s="13"/>
      <c r="S147" s="13"/>
      <c r="T147" s="13"/>
    </row>
    <row r="148" spans="6:20" ht="24.95" customHeight="1">
      <c r="F148" s="59" t="s">
        <v>129</v>
      </c>
      <c r="J148" s="59" t="s">
        <v>130</v>
      </c>
      <c r="N148" s="59" t="s">
        <v>131</v>
      </c>
      <c r="R148" s="30"/>
      <c r="S148" s="30"/>
      <c r="T148" s="30"/>
    </row>
    <row r="149" spans="6:20" ht="17.25" customHeight="1">
      <c r="F149" s="58" t="s">
        <v>132</v>
      </c>
      <c r="J149" s="58" t="s">
        <v>133</v>
      </c>
      <c r="N149" s="58" t="s">
        <v>134</v>
      </c>
    </row>
  </sheetData>
  <autoFilter ref="B7:U144"/>
  <mergeCells count="11">
    <mergeCell ref="U5:U6"/>
    <mergeCell ref="C11:E11"/>
    <mergeCell ref="B1:T1"/>
    <mergeCell ref="B2:T2"/>
    <mergeCell ref="B3:T3"/>
    <mergeCell ref="B4:T4"/>
    <mergeCell ref="B5:E6"/>
    <mergeCell ref="F5:H5"/>
    <mergeCell ref="J5:L5"/>
    <mergeCell ref="N5:P5"/>
    <mergeCell ref="R5:T5"/>
  </mergeCells>
  <pageMargins left="1.25" right="0" top="0.36" bottom="0.3" header="0.27" footer="0.17"/>
  <pageSetup paperSize="5" scale="55" orientation="landscape" horizontalDpi="0" verticalDpi="0" r:id="rId1"/>
  <headerFooter>
    <oddFooter>&amp;R&amp;"-,Italic"&amp;8Page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Y149"/>
  <sheetViews>
    <sheetView zoomScale="75" zoomScaleNormal="75" workbookViewId="0">
      <pane xSplit="5" ySplit="6" topLeftCell="F97" activePane="bottomRight" state="frozen"/>
      <selection pane="topRight" activeCell="F1" sqref="F1"/>
      <selection pane="bottomLeft" activeCell="A7" sqref="A7"/>
      <selection pane="bottomRight" activeCell="G102" sqref="G102"/>
    </sheetView>
  </sheetViews>
  <sheetFormatPr defaultRowHeight="24.95" customHeight="1"/>
  <cols>
    <col min="1" max="4" width="2.7109375" style="2" customWidth="1"/>
    <col min="5" max="5" width="50.5703125" style="57" customWidth="1"/>
    <col min="6" max="7" width="19.28515625" style="2" customWidth="1"/>
    <col min="8" max="8" width="18.5703125" style="2" customWidth="1"/>
    <col min="9" max="9" width="0.7109375" style="2" customWidth="1"/>
    <col min="10" max="10" width="24" style="2" bestFit="1" customWidth="1"/>
    <col min="11" max="11" width="18.7109375" style="2" bestFit="1" customWidth="1"/>
    <col min="12" max="12" width="19.42578125" style="2" bestFit="1" customWidth="1"/>
    <col min="13" max="13" width="0.5703125" style="2" customWidth="1"/>
    <col min="14" max="15" width="18.7109375" style="2" bestFit="1" customWidth="1"/>
    <col min="16" max="16" width="16.5703125" style="2" customWidth="1"/>
    <col min="17" max="17" width="0.7109375" style="2" customWidth="1"/>
    <col min="18" max="19" width="19.85546875" style="2" bestFit="1" customWidth="1"/>
    <col min="20" max="20" width="18.7109375" style="2" bestFit="1" customWidth="1"/>
    <col min="21" max="21" width="14.5703125" style="1" customWidth="1"/>
    <col min="22" max="22" width="9.140625" style="2"/>
    <col min="23" max="23" width="13.140625" style="2" bestFit="1" customWidth="1"/>
    <col min="24" max="256" width="9.140625" style="2"/>
    <col min="257" max="260" width="2.7109375" style="2" customWidth="1"/>
    <col min="261" max="261" width="50.5703125" style="2" customWidth="1"/>
    <col min="262" max="263" width="19.28515625" style="2" customWidth="1"/>
    <col min="264" max="264" width="18.5703125" style="2" customWidth="1"/>
    <col min="265" max="265" width="0.7109375" style="2" customWidth="1"/>
    <col min="266" max="266" width="24" style="2" bestFit="1" customWidth="1"/>
    <col min="267" max="267" width="18.7109375" style="2" bestFit="1" customWidth="1"/>
    <col min="268" max="268" width="19.42578125" style="2" bestFit="1" customWidth="1"/>
    <col min="269" max="269" width="0.5703125" style="2" customWidth="1"/>
    <col min="270" max="271" width="18.7109375" style="2" bestFit="1" customWidth="1"/>
    <col min="272" max="272" width="16.5703125" style="2" customWidth="1"/>
    <col min="273" max="273" width="0.7109375" style="2" customWidth="1"/>
    <col min="274" max="275" width="19.85546875" style="2" bestFit="1" customWidth="1"/>
    <col min="276" max="276" width="18.7109375" style="2" bestFit="1" customWidth="1"/>
    <col min="277" max="277" width="14.5703125" style="2" customWidth="1"/>
    <col min="278" max="278" width="9.140625" style="2"/>
    <col min="279" max="279" width="13.140625" style="2" bestFit="1" customWidth="1"/>
    <col min="280" max="512" width="9.140625" style="2"/>
    <col min="513" max="516" width="2.7109375" style="2" customWidth="1"/>
    <col min="517" max="517" width="50.5703125" style="2" customWidth="1"/>
    <col min="518" max="519" width="19.28515625" style="2" customWidth="1"/>
    <col min="520" max="520" width="18.5703125" style="2" customWidth="1"/>
    <col min="521" max="521" width="0.7109375" style="2" customWidth="1"/>
    <col min="522" max="522" width="24" style="2" bestFit="1" customWidth="1"/>
    <col min="523" max="523" width="18.7109375" style="2" bestFit="1" customWidth="1"/>
    <col min="524" max="524" width="19.42578125" style="2" bestFit="1" customWidth="1"/>
    <col min="525" max="525" width="0.5703125" style="2" customWidth="1"/>
    <col min="526" max="527" width="18.7109375" style="2" bestFit="1" customWidth="1"/>
    <col min="528" max="528" width="16.5703125" style="2" customWidth="1"/>
    <col min="529" max="529" width="0.7109375" style="2" customWidth="1"/>
    <col min="530" max="531" width="19.85546875" style="2" bestFit="1" customWidth="1"/>
    <col min="532" max="532" width="18.7109375" style="2" bestFit="1" customWidth="1"/>
    <col min="533" max="533" width="14.5703125" style="2" customWidth="1"/>
    <col min="534" max="534" width="9.140625" style="2"/>
    <col min="535" max="535" width="13.140625" style="2" bestFit="1" customWidth="1"/>
    <col min="536" max="768" width="9.140625" style="2"/>
    <col min="769" max="772" width="2.7109375" style="2" customWidth="1"/>
    <col min="773" max="773" width="50.5703125" style="2" customWidth="1"/>
    <col min="774" max="775" width="19.28515625" style="2" customWidth="1"/>
    <col min="776" max="776" width="18.5703125" style="2" customWidth="1"/>
    <col min="777" max="777" width="0.7109375" style="2" customWidth="1"/>
    <col min="778" max="778" width="24" style="2" bestFit="1" customWidth="1"/>
    <col min="779" max="779" width="18.7109375" style="2" bestFit="1" customWidth="1"/>
    <col min="780" max="780" width="19.42578125" style="2" bestFit="1" customWidth="1"/>
    <col min="781" max="781" width="0.5703125" style="2" customWidth="1"/>
    <col min="782" max="783" width="18.7109375" style="2" bestFit="1" customWidth="1"/>
    <col min="784" max="784" width="16.5703125" style="2" customWidth="1"/>
    <col min="785" max="785" width="0.7109375" style="2" customWidth="1"/>
    <col min="786" max="787" width="19.85546875" style="2" bestFit="1" customWidth="1"/>
    <col min="788" max="788" width="18.7109375" style="2" bestFit="1" customWidth="1"/>
    <col min="789" max="789" width="14.5703125" style="2" customWidth="1"/>
    <col min="790" max="790" width="9.140625" style="2"/>
    <col min="791" max="791" width="13.140625" style="2" bestFit="1" customWidth="1"/>
    <col min="792" max="1024" width="9.140625" style="2"/>
    <col min="1025" max="1028" width="2.7109375" style="2" customWidth="1"/>
    <col min="1029" max="1029" width="50.5703125" style="2" customWidth="1"/>
    <col min="1030" max="1031" width="19.28515625" style="2" customWidth="1"/>
    <col min="1032" max="1032" width="18.5703125" style="2" customWidth="1"/>
    <col min="1033" max="1033" width="0.7109375" style="2" customWidth="1"/>
    <col min="1034" max="1034" width="24" style="2" bestFit="1" customWidth="1"/>
    <col min="1035" max="1035" width="18.7109375" style="2" bestFit="1" customWidth="1"/>
    <col min="1036" max="1036" width="19.42578125" style="2" bestFit="1" customWidth="1"/>
    <col min="1037" max="1037" width="0.5703125" style="2" customWidth="1"/>
    <col min="1038" max="1039" width="18.7109375" style="2" bestFit="1" customWidth="1"/>
    <col min="1040" max="1040" width="16.5703125" style="2" customWidth="1"/>
    <col min="1041" max="1041" width="0.7109375" style="2" customWidth="1"/>
    <col min="1042" max="1043" width="19.85546875" style="2" bestFit="1" customWidth="1"/>
    <col min="1044" max="1044" width="18.7109375" style="2" bestFit="1" customWidth="1"/>
    <col min="1045" max="1045" width="14.5703125" style="2" customWidth="1"/>
    <col min="1046" max="1046" width="9.140625" style="2"/>
    <col min="1047" max="1047" width="13.140625" style="2" bestFit="1" customWidth="1"/>
    <col min="1048" max="1280" width="9.140625" style="2"/>
    <col min="1281" max="1284" width="2.7109375" style="2" customWidth="1"/>
    <col min="1285" max="1285" width="50.5703125" style="2" customWidth="1"/>
    <col min="1286" max="1287" width="19.28515625" style="2" customWidth="1"/>
    <col min="1288" max="1288" width="18.5703125" style="2" customWidth="1"/>
    <col min="1289" max="1289" width="0.7109375" style="2" customWidth="1"/>
    <col min="1290" max="1290" width="24" style="2" bestFit="1" customWidth="1"/>
    <col min="1291" max="1291" width="18.7109375" style="2" bestFit="1" customWidth="1"/>
    <col min="1292" max="1292" width="19.42578125" style="2" bestFit="1" customWidth="1"/>
    <col min="1293" max="1293" width="0.5703125" style="2" customWidth="1"/>
    <col min="1294" max="1295" width="18.7109375" style="2" bestFit="1" customWidth="1"/>
    <col min="1296" max="1296" width="16.5703125" style="2" customWidth="1"/>
    <col min="1297" max="1297" width="0.7109375" style="2" customWidth="1"/>
    <col min="1298" max="1299" width="19.85546875" style="2" bestFit="1" customWidth="1"/>
    <col min="1300" max="1300" width="18.7109375" style="2" bestFit="1" customWidth="1"/>
    <col min="1301" max="1301" width="14.5703125" style="2" customWidth="1"/>
    <col min="1302" max="1302" width="9.140625" style="2"/>
    <col min="1303" max="1303" width="13.140625" style="2" bestFit="1" customWidth="1"/>
    <col min="1304" max="1536" width="9.140625" style="2"/>
    <col min="1537" max="1540" width="2.7109375" style="2" customWidth="1"/>
    <col min="1541" max="1541" width="50.5703125" style="2" customWidth="1"/>
    <col min="1542" max="1543" width="19.28515625" style="2" customWidth="1"/>
    <col min="1544" max="1544" width="18.5703125" style="2" customWidth="1"/>
    <col min="1545" max="1545" width="0.7109375" style="2" customWidth="1"/>
    <col min="1546" max="1546" width="24" style="2" bestFit="1" customWidth="1"/>
    <col min="1547" max="1547" width="18.7109375" style="2" bestFit="1" customWidth="1"/>
    <col min="1548" max="1548" width="19.42578125" style="2" bestFit="1" customWidth="1"/>
    <col min="1549" max="1549" width="0.5703125" style="2" customWidth="1"/>
    <col min="1550" max="1551" width="18.7109375" style="2" bestFit="1" customWidth="1"/>
    <col min="1552" max="1552" width="16.5703125" style="2" customWidth="1"/>
    <col min="1553" max="1553" width="0.7109375" style="2" customWidth="1"/>
    <col min="1554" max="1555" width="19.85546875" style="2" bestFit="1" customWidth="1"/>
    <col min="1556" max="1556" width="18.7109375" style="2" bestFit="1" customWidth="1"/>
    <col min="1557" max="1557" width="14.5703125" style="2" customWidth="1"/>
    <col min="1558" max="1558" width="9.140625" style="2"/>
    <col min="1559" max="1559" width="13.140625" style="2" bestFit="1" customWidth="1"/>
    <col min="1560" max="1792" width="9.140625" style="2"/>
    <col min="1793" max="1796" width="2.7109375" style="2" customWidth="1"/>
    <col min="1797" max="1797" width="50.5703125" style="2" customWidth="1"/>
    <col min="1798" max="1799" width="19.28515625" style="2" customWidth="1"/>
    <col min="1800" max="1800" width="18.5703125" style="2" customWidth="1"/>
    <col min="1801" max="1801" width="0.7109375" style="2" customWidth="1"/>
    <col min="1802" max="1802" width="24" style="2" bestFit="1" customWidth="1"/>
    <col min="1803" max="1803" width="18.7109375" style="2" bestFit="1" customWidth="1"/>
    <col min="1804" max="1804" width="19.42578125" style="2" bestFit="1" customWidth="1"/>
    <col min="1805" max="1805" width="0.5703125" style="2" customWidth="1"/>
    <col min="1806" max="1807" width="18.7109375" style="2" bestFit="1" customWidth="1"/>
    <col min="1808" max="1808" width="16.5703125" style="2" customWidth="1"/>
    <col min="1809" max="1809" width="0.7109375" style="2" customWidth="1"/>
    <col min="1810" max="1811" width="19.85546875" style="2" bestFit="1" customWidth="1"/>
    <col min="1812" max="1812" width="18.7109375" style="2" bestFit="1" customWidth="1"/>
    <col min="1813" max="1813" width="14.5703125" style="2" customWidth="1"/>
    <col min="1814" max="1814" width="9.140625" style="2"/>
    <col min="1815" max="1815" width="13.140625" style="2" bestFit="1" customWidth="1"/>
    <col min="1816" max="2048" width="9.140625" style="2"/>
    <col min="2049" max="2052" width="2.7109375" style="2" customWidth="1"/>
    <col min="2053" max="2053" width="50.5703125" style="2" customWidth="1"/>
    <col min="2054" max="2055" width="19.28515625" style="2" customWidth="1"/>
    <col min="2056" max="2056" width="18.5703125" style="2" customWidth="1"/>
    <col min="2057" max="2057" width="0.7109375" style="2" customWidth="1"/>
    <col min="2058" max="2058" width="24" style="2" bestFit="1" customWidth="1"/>
    <col min="2059" max="2059" width="18.7109375" style="2" bestFit="1" customWidth="1"/>
    <col min="2060" max="2060" width="19.42578125" style="2" bestFit="1" customWidth="1"/>
    <col min="2061" max="2061" width="0.5703125" style="2" customWidth="1"/>
    <col min="2062" max="2063" width="18.7109375" style="2" bestFit="1" customWidth="1"/>
    <col min="2064" max="2064" width="16.5703125" style="2" customWidth="1"/>
    <col min="2065" max="2065" width="0.7109375" style="2" customWidth="1"/>
    <col min="2066" max="2067" width="19.85546875" style="2" bestFit="1" customWidth="1"/>
    <col min="2068" max="2068" width="18.7109375" style="2" bestFit="1" customWidth="1"/>
    <col min="2069" max="2069" width="14.5703125" style="2" customWidth="1"/>
    <col min="2070" max="2070" width="9.140625" style="2"/>
    <col min="2071" max="2071" width="13.140625" style="2" bestFit="1" customWidth="1"/>
    <col min="2072" max="2304" width="9.140625" style="2"/>
    <col min="2305" max="2308" width="2.7109375" style="2" customWidth="1"/>
    <col min="2309" max="2309" width="50.5703125" style="2" customWidth="1"/>
    <col min="2310" max="2311" width="19.28515625" style="2" customWidth="1"/>
    <col min="2312" max="2312" width="18.5703125" style="2" customWidth="1"/>
    <col min="2313" max="2313" width="0.7109375" style="2" customWidth="1"/>
    <col min="2314" max="2314" width="24" style="2" bestFit="1" customWidth="1"/>
    <col min="2315" max="2315" width="18.7109375" style="2" bestFit="1" customWidth="1"/>
    <col min="2316" max="2316" width="19.42578125" style="2" bestFit="1" customWidth="1"/>
    <col min="2317" max="2317" width="0.5703125" style="2" customWidth="1"/>
    <col min="2318" max="2319" width="18.7109375" style="2" bestFit="1" customWidth="1"/>
    <col min="2320" max="2320" width="16.5703125" style="2" customWidth="1"/>
    <col min="2321" max="2321" width="0.7109375" style="2" customWidth="1"/>
    <col min="2322" max="2323" width="19.85546875" style="2" bestFit="1" customWidth="1"/>
    <col min="2324" max="2324" width="18.7109375" style="2" bestFit="1" customWidth="1"/>
    <col min="2325" max="2325" width="14.5703125" style="2" customWidth="1"/>
    <col min="2326" max="2326" width="9.140625" style="2"/>
    <col min="2327" max="2327" width="13.140625" style="2" bestFit="1" customWidth="1"/>
    <col min="2328" max="2560" width="9.140625" style="2"/>
    <col min="2561" max="2564" width="2.7109375" style="2" customWidth="1"/>
    <col min="2565" max="2565" width="50.5703125" style="2" customWidth="1"/>
    <col min="2566" max="2567" width="19.28515625" style="2" customWidth="1"/>
    <col min="2568" max="2568" width="18.5703125" style="2" customWidth="1"/>
    <col min="2569" max="2569" width="0.7109375" style="2" customWidth="1"/>
    <col min="2570" max="2570" width="24" style="2" bestFit="1" customWidth="1"/>
    <col min="2571" max="2571" width="18.7109375" style="2" bestFit="1" customWidth="1"/>
    <col min="2572" max="2572" width="19.42578125" style="2" bestFit="1" customWidth="1"/>
    <col min="2573" max="2573" width="0.5703125" style="2" customWidth="1"/>
    <col min="2574" max="2575" width="18.7109375" style="2" bestFit="1" customWidth="1"/>
    <col min="2576" max="2576" width="16.5703125" style="2" customWidth="1"/>
    <col min="2577" max="2577" width="0.7109375" style="2" customWidth="1"/>
    <col min="2578" max="2579" width="19.85546875" style="2" bestFit="1" customWidth="1"/>
    <col min="2580" max="2580" width="18.7109375" style="2" bestFit="1" customWidth="1"/>
    <col min="2581" max="2581" width="14.5703125" style="2" customWidth="1"/>
    <col min="2582" max="2582" width="9.140625" style="2"/>
    <col min="2583" max="2583" width="13.140625" style="2" bestFit="1" customWidth="1"/>
    <col min="2584" max="2816" width="9.140625" style="2"/>
    <col min="2817" max="2820" width="2.7109375" style="2" customWidth="1"/>
    <col min="2821" max="2821" width="50.5703125" style="2" customWidth="1"/>
    <col min="2822" max="2823" width="19.28515625" style="2" customWidth="1"/>
    <col min="2824" max="2824" width="18.5703125" style="2" customWidth="1"/>
    <col min="2825" max="2825" width="0.7109375" style="2" customWidth="1"/>
    <col min="2826" max="2826" width="24" style="2" bestFit="1" customWidth="1"/>
    <col min="2827" max="2827" width="18.7109375" style="2" bestFit="1" customWidth="1"/>
    <col min="2828" max="2828" width="19.42578125" style="2" bestFit="1" customWidth="1"/>
    <col min="2829" max="2829" width="0.5703125" style="2" customWidth="1"/>
    <col min="2830" max="2831" width="18.7109375" style="2" bestFit="1" customWidth="1"/>
    <col min="2832" max="2832" width="16.5703125" style="2" customWidth="1"/>
    <col min="2833" max="2833" width="0.7109375" style="2" customWidth="1"/>
    <col min="2834" max="2835" width="19.85546875" style="2" bestFit="1" customWidth="1"/>
    <col min="2836" max="2836" width="18.7109375" style="2" bestFit="1" customWidth="1"/>
    <col min="2837" max="2837" width="14.5703125" style="2" customWidth="1"/>
    <col min="2838" max="2838" width="9.140625" style="2"/>
    <col min="2839" max="2839" width="13.140625" style="2" bestFit="1" customWidth="1"/>
    <col min="2840" max="3072" width="9.140625" style="2"/>
    <col min="3073" max="3076" width="2.7109375" style="2" customWidth="1"/>
    <col min="3077" max="3077" width="50.5703125" style="2" customWidth="1"/>
    <col min="3078" max="3079" width="19.28515625" style="2" customWidth="1"/>
    <col min="3080" max="3080" width="18.5703125" style="2" customWidth="1"/>
    <col min="3081" max="3081" width="0.7109375" style="2" customWidth="1"/>
    <col min="3082" max="3082" width="24" style="2" bestFit="1" customWidth="1"/>
    <col min="3083" max="3083" width="18.7109375" style="2" bestFit="1" customWidth="1"/>
    <col min="3084" max="3084" width="19.42578125" style="2" bestFit="1" customWidth="1"/>
    <col min="3085" max="3085" width="0.5703125" style="2" customWidth="1"/>
    <col min="3086" max="3087" width="18.7109375" style="2" bestFit="1" customWidth="1"/>
    <col min="3088" max="3088" width="16.5703125" style="2" customWidth="1"/>
    <col min="3089" max="3089" width="0.7109375" style="2" customWidth="1"/>
    <col min="3090" max="3091" width="19.85546875" style="2" bestFit="1" customWidth="1"/>
    <col min="3092" max="3092" width="18.7109375" style="2" bestFit="1" customWidth="1"/>
    <col min="3093" max="3093" width="14.5703125" style="2" customWidth="1"/>
    <col min="3094" max="3094" width="9.140625" style="2"/>
    <col min="3095" max="3095" width="13.140625" style="2" bestFit="1" customWidth="1"/>
    <col min="3096" max="3328" width="9.140625" style="2"/>
    <col min="3329" max="3332" width="2.7109375" style="2" customWidth="1"/>
    <col min="3333" max="3333" width="50.5703125" style="2" customWidth="1"/>
    <col min="3334" max="3335" width="19.28515625" style="2" customWidth="1"/>
    <col min="3336" max="3336" width="18.5703125" style="2" customWidth="1"/>
    <col min="3337" max="3337" width="0.7109375" style="2" customWidth="1"/>
    <col min="3338" max="3338" width="24" style="2" bestFit="1" customWidth="1"/>
    <col min="3339" max="3339" width="18.7109375" style="2" bestFit="1" customWidth="1"/>
    <col min="3340" max="3340" width="19.42578125" style="2" bestFit="1" customWidth="1"/>
    <col min="3341" max="3341" width="0.5703125" style="2" customWidth="1"/>
    <col min="3342" max="3343" width="18.7109375" style="2" bestFit="1" customWidth="1"/>
    <col min="3344" max="3344" width="16.5703125" style="2" customWidth="1"/>
    <col min="3345" max="3345" width="0.7109375" style="2" customWidth="1"/>
    <col min="3346" max="3347" width="19.85546875" style="2" bestFit="1" customWidth="1"/>
    <col min="3348" max="3348" width="18.7109375" style="2" bestFit="1" customWidth="1"/>
    <col min="3349" max="3349" width="14.5703125" style="2" customWidth="1"/>
    <col min="3350" max="3350" width="9.140625" style="2"/>
    <col min="3351" max="3351" width="13.140625" style="2" bestFit="1" customWidth="1"/>
    <col min="3352" max="3584" width="9.140625" style="2"/>
    <col min="3585" max="3588" width="2.7109375" style="2" customWidth="1"/>
    <col min="3589" max="3589" width="50.5703125" style="2" customWidth="1"/>
    <col min="3590" max="3591" width="19.28515625" style="2" customWidth="1"/>
    <col min="3592" max="3592" width="18.5703125" style="2" customWidth="1"/>
    <col min="3593" max="3593" width="0.7109375" style="2" customWidth="1"/>
    <col min="3594" max="3594" width="24" style="2" bestFit="1" customWidth="1"/>
    <col min="3595" max="3595" width="18.7109375" style="2" bestFit="1" customWidth="1"/>
    <col min="3596" max="3596" width="19.42578125" style="2" bestFit="1" customWidth="1"/>
    <col min="3597" max="3597" width="0.5703125" style="2" customWidth="1"/>
    <col min="3598" max="3599" width="18.7109375" style="2" bestFit="1" customWidth="1"/>
    <col min="3600" max="3600" width="16.5703125" style="2" customWidth="1"/>
    <col min="3601" max="3601" width="0.7109375" style="2" customWidth="1"/>
    <col min="3602" max="3603" width="19.85546875" style="2" bestFit="1" customWidth="1"/>
    <col min="3604" max="3604" width="18.7109375" style="2" bestFit="1" customWidth="1"/>
    <col min="3605" max="3605" width="14.5703125" style="2" customWidth="1"/>
    <col min="3606" max="3606" width="9.140625" style="2"/>
    <col min="3607" max="3607" width="13.140625" style="2" bestFit="1" customWidth="1"/>
    <col min="3608" max="3840" width="9.140625" style="2"/>
    <col min="3841" max="3844" width="2.7109375" style="2" customWidth="1"/>
    <col min="3845" max="3845" width="50.5703125" style="2" customWidth="1"/>
    <col min="3846" max="3847" width="19.28515625" style="2" customWidth="1"/>
    <col min="3848" max="3848" width="18.5703125" style="2" customWidth="1"/>
    <col min="3849" max="3849" width="0.7109375" style="2" customWidth="1"/>
    <col min="3850" max="3850" width="24" style="2" bestFit="1" customWidth="1"/>
    <col min="3851" max="3851" width="18.7109375" style="2" bestFit="1" customWidth="1"/>
    <col min="3852" max="3852" width="19.42578125" style="2" bestFit="1" customWidth="1"/>
    <col min="3853" max="3853" width="0.5703125" style="2" customWidth="1"/>
    <col min="3854" max="3855" width="18.7109375" style="2" bestFit="1" customWidth="1"/>
    <col min="3856" max="3856" width="16.5703125" style="2" customWidth="1"/>
    <col min="3857" max="3857" width="0.7109375" style="2" customWidth="1"/>
    <col min="3858" max="3859" width="19.85546875" style="2" bestFit="1" customWidth="1"/>
    <col min="3860" max="3860" width="18.7109375" style="2" bestFit="1" customWidth="1"/>
    <col min="3861" max="3861" width="14.5703125" style="2" customWidth="1"/>
    <col min="3862" max="3862" width="9.140625" style="2"/>
    <col min="3863" max="3863" width="13.140625" style="2" bestFit="1" customWidth="1"/>
    <col min="3864" max="4096" width="9.140625" style="2"/>
    <col min="4097" max="4100" width="2.7109375" style="2" customWidth="1"/>
    <col min="4101" max="4101" width="50.5703125" style="2" customWidth="1"/>
    <col min="4102" max="4103" width="19.28515625" style="2" customWidth="1"/>
    <col min="4104" max="4104" width="18.5703125" style="2" customWidth="1"/>
    <col min="4105" max="4105" width="0.7109375" style="2" customWidth="1"/>
    <col min="4106" max="4106" width="24" style="2" bestFit="1" customWidth="1"/>
    <col min="4107" max="4107" width="18.7109375" style="2" bestFit="1" customWidth="1"/>
    <col min="4108" max="4108" width="19.42578125" style="2" bestFit="1" customWidth="1"/>
    <col min="4109" max="4109" width="0.5703125" style="2" customWidth="1"/>
    <col min="4110" max="4111" width="18.7109375" style="2" bestFit="1" customWidth="1"/>
    <col min="4112" max="4112" width="16.5703125" style="2" customWidth="1"/>
    <col min="4113" max="4113" width="0.7109375" style="2" customWidth="1"/>
    <col min="4114" max="4115" width="19.85546875" style="2" bestFit="1" customWidth="1"/>
    <col min="4116" max="4116" width="18.7109375" style="2" bestFit="1" customWidth="1"/>
    <col min="4117" max="4117" width="14.5703125" style="2" customWidth="1"/>
    <col min="4118" max="4118" width="9.140625" style="2"/>
    <col min="4119" max="4119" width="13.140625" style="2" bestFit="1" customWidth="1"/>
    <col min="4120" max="4352" width="9.140625" style="2"/>
    <col min="4353" max="4356" width="2.7109375" style="2" customWidth="1"/>
    <col min="4357" max="4357" width="50.5703125" style="2" customWidth="1"/>
    <col min="4358" max="4359" width="19.28515625" style="2" customWidth="1"/>
    <col min="4360" max="4360" width="18.5703125" style="2" customWidth="1"/>
    <col min="4361" max="4361" width="0.7109375" style="2" customWidth="1"/>
    <col min="4362" max="4362" width="24" style="2" bestFit="1" customWidth="1"/>
    <col min="4363" max="4363" width="18.7109375" style="2" bestFit="1" customWidth="1"/>
    <col min="4364" max="4364" width="19.42578125" style="2" bestFit="1" customWidth="1"/>
    <col min="4365" max="4365" width="0.5703125" style="2" customWidth="1"/>
    <col min="4366" max="4367" width="18.7109375" style="2" bestFit="1" customWidth="1"/>
    <col min="4368" max="4368" width="16.5703125" style="2" customWidth="1"/>
    <col min="4369" max="4369" width="0.7109375" style="2" customWidth="1"/>
    <col min="4370" max="4371" width="19.85546875" style="2" bestFit="1" customWidth="1"/>
    <col min="4372" max="4372" width="18.7109375" style="2" bestFit="1" customWidth="1"/>
    <col min="4373" max="4373" width="14.5703125" style="2" customWidth="1"/>
    <col min="4374" max="4374" width="9.140625" style="2"/>
    <col min="4375" max="4375" width="13.140625" style="2" bestFit="1" customWidth="1"/>
    <col min="4376" max="4608" width="9.140625" style="2"/>
    <col min="4609" max="4612" width="2.7109375" style="2" customWidth="1"/>
    <col min="4613" max="4613" width="50.5703125" style="2" customWidth="1"/>
    <col min="4614" max="4615" width="19.28515625" style="2" customWidth="1"/>
    <col min="4616" max="4616" width="18.5703125" style="2" customWidth="1"/>
    <col min="4617" max="4617" width="0.7109375" style="2" customWidth="1"/>
    <col min="4618" max="4618" width="24" style="2" bestFit="1" customWidth="1"/>
    <col min="4619" max="4619" width="18.7109375" style="2" bestFit="1" customWidth="1"/>
    <col min="4620" max="4620" width="19.42578125" style="2" bestFit="1" customWidth="1"/>
    <col min="4621" max="4621" width="0.5703125" style="2" customWidth="1"/>
    <col min="4622" max="4623" width="18.7109375" style="2" bestFit="1" customWidth="1"/>
    <col min="4624" max="4624" width="16.5703125" style="2" customWidth="1"/>
    <col min="4625" max="4625" width="0.7109375" style="2" customWidth="1"/>
    <col min="4626" max="4627" width="19.85546875" style="2" bestFit="1" customWidth="1"/>
    <col min="4628" max="4628" width="18.7109375" style="2" bestFit="1" customWidth="1"/>
    <col min="4629" max="4629" width="14.5703125" style="2" customWidth="1"/>
    <col min="4630" max="4630" width="9.140625" style="2"/>
    <col min="4631" max="4631" width="13.140625" style="2" bestFit="1" customWidth="1"/>
    <col min="4632" max="4864" width="9.140625" style="2"/>
    <col min="4865" max="4868" width="2.7109375" style="2" customWidth="1"/>
    <col min="4869" max="4869" width="50.5703125" style="2" customWidth="1"/>
    <col min="4870" max="4871" width="19.28515625" style="2" customWidth="1"/>
    <col min="4872" max="4872" width="18.5703125" style="2" customWidth="1"/>
    <col min="4873" max="4873" width="0.7109375" style="2" customWidth="1"/>
    <col min="4874" max="4874" width="24" style="2" bestFit="1" customWidth="1"/>
    <col min="4875" max="4875" width="18.7109375" style="2" bestFit="1" customWidth="1"/>
    <col min="4876" max="4876" width="19.42578125" style="2" bestFit="1" customWidth="1"/>
    <col min="4877" max="4877" width="0.5703125" style="2" customWidth="1"/>
    <col min="4878" max="4879" width="18.7109375" style="2" bestFit="1" customWidth="1"/>
    <col min="4880" max="4880" width="16.5703125" style="2" customWidth="1"/>
    <col min="4881" max="4881" width="0.7109375" style="2" customWidth="1"/>
    <col min="4882" max="4883" width="19.85546875" style="2" bestFit="1" customWidth="1"/>
    <col min="4884" max="4884" width="18.7109375" style="2" bestFit="1" customWidth="1"/>
    <col min="4885" max="4885" width="14.5703125" style="2" customWidth="1"/>
    <col min="4886" max="4886" width="9.140625" style="2"/>
    <col min="4887" max="4887" width="13.140625" style="2" bestFit="1" customWidth="1"/>
    <col min="4888" max="5120" width="9.140625" style="2"/>
    <col min="5121" max="5124" width="2.7109375" style="2" customWidth="1"/>
    <col min="5125" max="5125" width="50.5703125" style="2" customWidth="1"/>
    <col min="5126" max="5127" width="19.28515625" style="2" customWidth="1"/>
    <col min="5128" max="5128" width="18.5703125" style="2" customWidth="1"/>
    <col min="5129" max="5129" width="0.7109375" style="2" customWidth="1"/>
    <col min="5130" max="5130" width="24" style="2" bestFit="1" customWidth="1"/>
    <col min="5131" max="5131" width="18.7109375" style="2" bestFit="1" customWidth="1"/>
    <col min="5132" max="5132" width="19.42578125" style="2" bestFit="1" customWidth="1"/>
    <col min="5133" max="5133" width="0.5703125" style="2" customWidth="1"/>
    <col min="5134" max="5135" width="18.7109375" style="2" bestFit="1" customWidth="1"/>
    <col min="5136" max="5136" width="16.5703125" style="2" customWidth="1"/>
    <col min="5137" max="5137" width="0.7109375" style="2" customWidth="1"/>
    <col min="5138" max="5139" width="19.85546875" style="2" bestFit="1" customWidth="1"/>
    <col min="5140" max="5140" width="18.7109375" style="2" bestFit="1" customWidth="1"/>
    <col min="5141" max="5141" width="14.5703125" style="2" customWidth="1"/>
    <col min="5142" max="5142" width="9.140625" style="2"/>
    <col min="5143" max="5143" width="13.140625" style="2" bestFit="1" customWidth="1"/>
    <col min="5144" max="5376" width="9.140625" style="2"/>
    <col min="5377" max="5380" width="2.7109375" style="2" customWidth="1"/>
    <col min="5381" max="5381" width="50.5703125" style="2" customWidth="1"/>
    <col min="5382" max="5383" width="19.28515625" style="2" customWidth="1"/>
    <col min="5384" max="5384" width="18.5703125" style="2" customWidth="1"/>
    <col min="5385" max="5385" width="0.7109375" style="2" customWidth="1"/>
    <col min="5386" max="5386" width="24" style="2" bestFit="1" customWidth="1"/>
    <col min="5387" max="5387" width="18.7109375" style="2" bestFit="1" customWidth="1"/>
    <col min="5388" max="5388" width="19.42578125" style="2" bestFit="1" customWidth="1"/>
    <col min="5389" max="5389" width="0.5703125" style="2" customWidth="1"/>
    <col min="5390" max="5391" width="18.7109375" style="2" bestFit="1" customWidth="1"/>
    <col min="5392" max="5392" width="16.5703125" style="2" customWidth="1"/>
    <col min="5393" max="5393" width="0.7109375" style="2" customWidth="1"/>
    <col min="5394" max="5395" width="19.85546875" style="2" bestFit="1" customWidth="1"/>
    <col min="5396" max="5396" width="18.7109375" style="2" bestFit="1" customWidth="1"/>
    <col min="5397" max="5397" width="14.5703125" style="2" customWidth="1"/>
    <col min="5398" max="5398" width="9.140625" style="2"/>
    <col min="5399" max="5399" width="13.140625" style="2" bestFit="1" customWidth="1"/>
    <col min="5400" max="5632" width="9.140625" style="2"/>
    <col min="5633" max="5636" width="2.7109375" style="2" customWidth="1"/>
    <col min="5637" max="5637" width="50.5703125" style="2" customWidth="1"/>
    <col min="5638" max="5639" width="19.28515625" style="2" customWidth="1"/>
    <col min="5640" max="5640" width="18.5703125" style="2" customWidth="1"/>
    <col min="5641" max="5641" width="0.7109375" style="2" customWidth="1"/>
    <col min="5642" max="5642" width="24" style="2" bestFit="1" customWidth="1"/>
    <col min="5643" max="5643" width="18.7109375" style="2" bestFit="1" customWidth="1"/>
    <col min="5644" max="5644" width="19.42578125" style="2" bestFit="1" customWidth="1"/>
    <col min="5645" max="5645" width="0.5703125" style="2" customWidth="1"/>
    <col min="5646" max="5647" width="18.7109375" style="2" bestFit="1" customWidth="1"/>
    <col min="5648" max="5648" width="16.5703125" style="2" customWidth="1"/>
    <col min="5649" max="5649" width="0.7109375" style="2" customWidth="1"/>
    <col min="5650" max="5651" width="19.85546875" style="2" bestFit="1" customWidth="1"/>
    <col min="5652" max="5652" width="18.7109375" style="2" bestFit="1" customWidth="1"/>
    <col min="5653" max="5653" width="14.5703125" style="2" customWidth="1"/>
    <col min="5654" max="5654" width="9.140625" style="2"/>
    <col min="5655" max="5655" width="13.140625" style="2" bestFit="1" customWidth="1"/>
    <col min="5656" max="5888" width="9.140625" style="2"/>
    <col min="5889" max="5892" width="2.7109375" style="2" customWidth="1"/>
    <col min="5893" max="5893" width="50.5703125" style="2" customWidth="1"/>
    <col min="5894" max="5895" width="19.28515625" style="2" customWidth="1"/>
    <col min="5896" max="5896" width="18.5703125" style="2" customWidth="1"/>
    <col min="5897" max="5897" width="0.7109375" style="2" customWidth="1"/>
    <col min="5898" max="5898" width="24" style="2" bestFit="1" customWidth="1"/>
    <col min="5899" max="5899" width="18.7109375" style="2" bestFit="1" customWidth="1"/>
    <col min="5900" max="5900" width="19.42578125" style="2" bestFit="1" customWidth="1"/>
    <col min="5901" max="5901" width="0.5703125" style="2" customWidth="1"/>
    <col min="5902" max="5903" width="18.7109375" style="2" bestFit="1" customWidth="1"/>
    <col min="5904" max="5904" width="16.5703125" style="2" customWidth="1"/>
    <col min="5905" max="5905" width="0.7109375" style="2" customWidth="1"/>
    <col min="5906" max="5907" width="19.85546875" style="2" bestFit="1" customWidth="1"/>
    <col min="5908" max="5908" width="18.7109375" style="2" bestFit="1" customWidth="1"/>
    <col min="5909" max="5909" width="14.5703125" style="2" customWidth="1"/>
    <col min="5910" max="5910" width="9.140625" style="2"/>
    <col min="5911" max="5911" width="13.140625" style="2" bestFit="1" customWidth="1"/>
    <col min="5912" max="6144" width="9.140625" style="2"/>
    <col min="6145" max="6148" width="2.7109375" style="2" customWidth="1"/>
    <col min="6149" max="6149" width="50.5703125" style="2" customWidth="1"/>
    <col min="6150" max="6151" width="19.28515625" style="2" customWidth="1"/>
    <col min="6152" max="6152" width="18.5703125" style="2" customWidth="1"/>
    <col min="6153" max="6153" width="0.7109375" style="2" customWidth="1"/>
    <col min="6154" max="6154" width="24" style="2" bestFit="1" customWidth="1"/>
    <col min="6155" max="6155" width="18.7109375" style="2" bestFit="1" customWidth="1"/>
    <col min="6156" max="6156" width="19.42578125" style="2" bestFit="1" customWidth="1"/>
    <col min="6157" max="6157" width="0.5703125" style="2" customWidth="1"/>
    <col min="6158" max="6159" width="18.7109375" style="2" bestFit="1" customWidth="1"/>
    <col min="6160" max="6160" width="16.5703125" style="2" customWidth="1"/>
    <col min="6161" max="6161" width="0.7109375" style="2" customWidth="1"/>
    <col min="6162" max="6163" width="19.85546875" style="2" bestFit="1" customWidth="1"/>
    <col min="6164" max="6164" width="18.7109375" style="2" bestFit="1" customWidth="1"/>
    <col min="6165" max="6165" width="14.5703125" style="2" customWidth="1"/>
    <col min="6166" max="6166" width="9.140625" style="2"/>
    <col min="6167" max="6167" width="13.140625" style="2" bestFit="1" customWidth="1"/>
    <col min="6168" max="6400" width="9.140625" style="2"/>
    <col min="6401" max="6404" width="2.7109375" style="2" customWidth="1"/>
    <col min="6405" max="6405" width="50.5703125" style="2" customWidth="1"/>
    <col min="6406" max="6407" width="19.28515625" style="2" customWidth="1"/>
    <col min="6408" max="6408" width="18.5703125" style="2" customWidth="1"/>
    <col min="6409" max="6409" width="0.7109375" style="2" customWidth="1"/>
    <col min="6410" max="6410" width="24" style="2" bestFit="1" customWidth="1"/>
    <col min="6411" max="6411" width="18.7109375" style="2" bestFit="1" customWidth="1"/>
    <col min="6412" max="6412" width="19.42578125" style="2" bestFit="1" customWidth="1"/>
    <col min="6413" max="6413" width="0.5703125" style="2" customWidth="1"/>
    <col min="6414" max="6415" width="18.7109375" style="2" bestFit="1" customWidth="1"/>
    <col min="6416" max="6416" width="16.5703125" style="2" customWidth="1"/>
    <col min="6417" max="6417" width="0.7109375" style="2" customWidth="1"/>
    <col min="6418" max="6419" width="19.85546875" style="2" bestFit="1" customWidth="1"/>
    <col min="6420" max="6420" width="18.7109375" style="2" bestFit="1" customWidth="1"/>
    <col min="6421" max="6421" width="14.5703125" style="2" customWidth="1"/>
    <col min="6422" max="6422" width="9.140625" style="2"/>
    <col min="6423" max="6423" width="13.140625" style="2" bestFit="1" customWidth="1"/>
    <col min="6424" max="6656" width="9.140625" style="2"/>
    <col min="6657" max="6660" width="2.7109375" style="2" customWidth="1"/>
    <col min="6661" max="6661" width="50.5703125" style="2" customWidth="1"/>
    <col min="6662" max="6663" width="19.28515625" style="2" customWidth="1"/>
    <col min="6664" max="6664" width="18.5703125" style="2" customWidth="1"/>
    <col min="6665" max="6665" width="0.7109375" style="2" customWidth="1"/>
    <col min="6666" max="6666" width="24" style="2" bestFit="1" customWidth="1"/>
    <col min="6667" max="6667" width="18.7109375" style="2" bestFit="1" customWidth="1"/>
    <col min="6668" max="6668" width="19.42578125" style="2" bestFit="1" customWidth="1"/>
    <col min="6669" max="6669" width="0.5703125" style="2" customWidth="1"/>
    <col min="6670" max="6671" width="18.7109375" style="2" bestFit="1" customWidth="1"/>
    <col min="6672" max="6672" width="16.5703125" style="2" customWidth="1"/>
    <col min="6673" max="6673" width="0.7109375" style="2" customWidth="1"/>
    <col min="6674" max="6675" width="19.85546875" style="2" bestFit="1" customWidth="1"/>
    <col min="6676" max="6676" width="18.7109375" style="2" bestFit="1" customWidth="1"/>
    <col min="6677" max="6677" width="14.5703125" style="2" customWidth="1"/>
    <col min="6678" max="6678" width="9.140625" style="2"/>
    <col min="6679" max="6679" width="13.140625" style="2" bestFit="1" customWidth="1"/>
    <col min="6680" max="6912" width="9.140625" style="2"/>
    <col min="6913" max="6916" width="2.7109375" style="2" customWidth="1"/>
    <col min="6917" max="6917" width="50.5703125" style="2" customWidth="1"/>
    <col min="6918" max="6919" width="19.28515625" style="2" customWidth="1"/>
    <col min="6920" max="6920" width="18.5703125" style="2" customWidth="1"/>
    <col min="6921" max="6921" width="0.7109375" style="2" customWidth="1"/>
    <col min="6922" max="6922" width="24" style="2" bestFit="1" customWidth="1"/>
    <col min="6923" max="6923" width="18.7109375" style="2" bestFit="1" customWidth="1"/>
    <col min="6924" max="6924" width="19.42578125" style="2" bestFit="1" customWidth="1"/>
    <col min="6925" max="6925" width="0.5703125" style="2" customWidth="1"/>
    <col min="6926" max="6927" width="18.7109375" style="2" bestFit="1" customWidth="1"/>
    <col min="6928" max="6928" width="16.5703125" style="2" customWidth="1"/>
    <col min="6929" max="6929" width="0.7109375" style="2" customWidth="1"/>
    <col min="6930" max="6931" width="19.85546875" style="2" bestFit="1" customWidth="1"/>
    <col min="6932" max="6932" width="18.7109375" style="2" bestFit="1" customWidth="1"/>
    <col min="6933" max="6933" width="14.5703125" style="2" customWidth="1"/>
    <col min="6934" max="6934" width="9.140625" style="2"/>
    <col min="6935" max="6935" width="13.140625" style="2" bestFit="1" customWidth="1"/>
    <col min="6936" max="7168" width="9.140625" style="2"/>
    <col min="7169" max="7172" width="2.7109375" style="2" customWidth="1"/>
    <col min="7173" max="7173" width="50.5703125" style="2" customWidth="1"/>
    <col min="7174" max="7175" width="19.28515625" style="2" customWidth="1"/>
    <col min="7176" max="7176" width="18.5703125" style="2" customWidth="1"/>
    <col min="7177" max="7177" width="0.7109375" style="2" customWidth="1"/>
    <col min="7178" max="7178" width="24" style="2" bestFit="1" customWidth="1"/>
    <col min="7179" max="7179" width="18.7109375" style="2" bestFit="1" customWidth="1"/>
    <col min="7180" max="7180" width="19.42578125" style="2" bestFit="1" customWidth="1"/>
    <col min="7181" max="7181" width="0.5703125" style="2" customWidth="1"/>
    <col min="7182" max="7183" width="18.7109375" style="2" bestFit="1" customWidth="1"/>
    <col min="7184" max="7184" width="16.5703125" style="2" customWidth="1"/>
    <col min="7185" max="7185" width="0.7109375" style="2" customWidth="1"/>
    <col min="7186" max="7187" width="19.85546875" style="2" bestFit="1" customWidth="1"/>
    <col min="7188" max="7188" width="18.7109375" style="2" bestFit="1" customWidth="1"/>
    <col min="7189" max="7189" width="14.5703125" style="2" customWidth="1"/>
    <col min="7190" max="7190" width="9.140625" style="2"/>
    <col min="7191" max="7191" width="13.140625" style="2" bestFit="1" customWidth="1"/>
    <col min="7192" max="7424" width="9.140625" style="2"/>
    <col min="7425" max="7428" width="2.7109375" style="2" customWidth="1"/>
    <col min="7429" max="7429" width="50.5703125" style="2" customWidth="1"/>
    <col min="7430" max="7431" width="19.28515625" style="2" customWidth="1"/>
    <col min="7432" max="7432" width="18.5703125" style="2" customWidth="1"/>
    <col min="7433" max="7433" width="0.7109375" style="2" customWidth="1"/>
    <col min="7434" max="7434" width="24" style="2" bestFit="1" customWidth="1"/>
    <col min="7435" max="7435" width="18.7109375" style="2" bestFit="1" customWidth="1"/>
    <col min="7436" max="7436" width="19.42578125" style="2" bestFit="1" customWidth="1"/>
    <col min="7437" max="7437" width="0.5703125" style="2" customWidth="1"/>
    <col min="7438" max="7439" width="18.7109375" style="2" bestFit="1" customWidth="1"/>
    <col min="7440" max="7440" width="16.5703125" style="2" customWidth="1"/>
    <col min="7441" max="7441" width="0.7109375" style="2" customWidth="1"/>
    <col min="7442" max="7443" width="19.85546875" style="2" bestFit="1" customWidth="1"/>
    <col min="7444" max="7444" width="18.7109375" style="2" bestFit="1" customWidth="1"/>
    <col min="7445" max="7445" width="14.5703125" style="2" customWidth="1"/>
    <col min="7446" max="7446" width="9.140625" style="2"/>
    <col min="7447" max="7447" width="13.140625" style="2" bestFit="1" customWidth="1"/>
    <col min="7448" max="7680" width="9.140625" style="2"/>
    <col min="7681" max="7684" width="2.7109375" style="2" customWidth="1"/>
    <col min="7685" max="7685" width="50.5703125" style="2" customWidth="1"/>
    <col min="7686" max="7687" width="19.28515625" style="2" customWidth="1"/>
    <col min="7688" max="7688" width="18.5703125" style="2" customWidth="1"/>
    <col min="7689" max="7689" width="0.7109375" style="2" customWidth="1"/>
    <col min="7690" max="7690" width="24" style="2" bestFit="1" customWidth="1"/>
    <col min="7691" max="7691" width="18.7109375" style="2" bestFit="1" customWidth="1"/>
    <col min="7692" max="7692" width="19.42578125" style="2" bestFit="1" customWidth="1"/>
    <col min="7693" max="7693" width="0.5703125" style="2" customWidth="1"/>
    <col min="7694" max="7695" width="18.7109375" style="2" bestFit="1" customWidth="1"/>
    <col min="7696" max="7696" width="16.5703125" style="2" customWidth="1"/>
    <col min="7697" max="7697" width="0.7109375" style="2" customWidth="1"/>
    <col min="7698" max="7699" width="19.85546875" style="2" bestFit="1" customWidth="1"/>
    <col min="7700" max="7700" width="18.7109375" style="2" bestFit="1" customWidth="1"/>
    <col min="7701" max="7701" width="14.5703125" style="2" customWidth="1"/>
    <col min="7702" max="7702" width="9.140625" style="2"/>
    <col min="7703" max="7703" width="13.140625" style="2" bestFit="1" customWidth="1"/>
    <col min="7704" max="7936" width="9.140625" style="2"/>
    <col min="7937" max="7940" width="2.7109375" style="2" customWidth="1"/>
    <col min="7941" max="7941" width="50.5703125" style="2" customWidth="1"/>
    <col min="7942" max="7943" width="19.28515625" style="2" customWidth="1"/>
    <col min="7944" max="7944" width="18.5703125" style="2" customWidth="1"/>
    <col min="7945" max="7945" width="0.7109375" style="2" customWidth="1"/>
    <col min="7946" max="7946" width="24" style="2" bestFit="1" customWidth="1"/>
    <col min="7947" max="7947" width="18.7109375" style="2" bestFit="1" customWidth="1"/>
    <col min="7948" max="7948" width="19.42578125" style="2" bestFit="1" customWidth="1"/>
    <col min="7949" max="7949" width="0.5703125" style="2" customWidth="1"/>
    <col min="7950" max="7951" width="18.7109375" style="2" bestFit="1" customWidth="1"/>
    <col min="7952" max="7952" width="16.5703125" style="2" customWidth="1"/>
    <col min="7953" max="7953" width="0.7109375" style="2" customWidth="1"/>
    <col min="7954" max="7955" width="19.85546875" style="2" bestFit="1" customWidth="1"/>
    <col min="7956" max="7956" width="18.7109375" style="2" bestFit="1" customWidth="1"/>
    <col min="7957" max="7957" width="14.5703125" style="2" customWidth="1"/>
    <col min="7958" max="7958" width="9.140625" style="2"/>
    <col min="7959" max="7959" width="13.140625" style="2" bestFit="1" customWidth="1"/>
    <col min="7960" max="8192" width="9.140625" style="2"/>
    <col min="8193" max="8196" width="2.7109375" style="2" customWidth="1"/>
    <col min="8197" max="8197" width="50.5703125" style="2" customWidth="1"/>
    <col min="8198" max="8199" width="19.28515625" style="2" customWidth="1"/>
    <col min="8200" max="8200" width="18.5703125" style="2" customWidth="1"/>
    <col min="8201" max="8201" width="0.7109375" style="2" customWidth="1"/>
    <col min="8202" max="8202" width="24" style="2" bestFit="1" customWidth="1"/>
    <col min="8203" max="8203" width="18.7109375" style="2" bestFit="1" customWidth="1"/>
    <col min="8204" max="8204" width="19.42578125" style="2" bestFit="1" customWidth="1"/>
    <col min="8205" max="8205" width="0.5703125" style="2" customWidth="1"/>
    <col min="8206" max="8207" width="18.7109375" style="2" bestFit="1" customWidth="1"/>
    <col min="8208" max="8208" width="16.5703125" style="2" customWidth="1"/>
    <col min="8209" max="8209" width="0.7109375" style="2" customWidth="1"/>
    <col min="8210" max="8211" width="19.85546875" style="2" bestFit="1" customWidth="1"/>
    <col min="8212" max="8212" width="18.7109375" style="2" bestFit="1" customWidth="1"/>
    <col min="8213" max="8213" width="14.5703125" style="2" customWidth="1"/>
    <col min="8214" max="8214" width="9.140625" style="2"/>
    <col min="8215" max="8215" width="13.140625" style="2" bestFit="1" customWidth="1"/>
    <col min="8216" max="8448" width="9.140625" style="2"/>
    <col min="8449" max="8452" width="2.7109375" style="2" customWidth="1"/>
    <col min="8453" max="8453" width="50.5703125" style="2" customWidth="1"/>
    <col min="8454" max="8455" width="19.28515625" style="2" customWidth="1"/>
    <col min="8456" max="8456" width="18.5703125" style="2" customWidth="1"/>
    <col min="8457" max="8457" width="0.7109375" style="2" customWidth="1"/>
    <col min="8458" max="8458" width="24" style="2" bestFit="1" customWidth="1"/>
    <col min="8459" max="8459" width="18.7109375" style="2" bestFit="1" customWidth="1"/>
    <col min="8460" max="8460" width="19.42578125" style="2" bestFit="1" customWidth="1"/>
    <col min="8461" max="8461" width="0.5703125" style="2" customWidth="1"/>
    <col min="8462" max="8463" width="18.7109375" style="2" bestFit="1" customWidth="1"/>
    <col min="8464" max="8464" width="16.5703125" style="2" customWidth="1"/>
    <col min="8465" max="8465" width="0.7109375" style="2" customWidth="1"/>
    <col min="8466" max="8467" width="19.85546875" style="2" bestFit="1" customWidth="1"/>
    <col min="8468" max="8468" width="18.7109375" style="2" bestFit="1" customWidth="1"/>
    <col min="8469" max="8469" width="14.5703125" style="2" customWidth="1"/>
    <col min="8470" max="8470" width="9.140625" style="2"/>
    <col min="8471" max="8471" width="13.140625" style="2" bestFit="1" customWidth="1"/>
    <col min="8472" max="8704" width="9.140625" style="2"/>
    <col min="8705" max="8708" width="2.7109375" style="2" customWidth="1"/>
    <col min="8709" max="8709" width="50.5703125" style="2" customWidth="1"/>
    <col min="8710" max="8711" width="19.28515625" style="2" customWidth="1"/>
    <col min="8712" max="8712" width="18.5703125" style="2" customWidth="1"/>
    <col min="8713" max="8713" width="0.7109375" style="2" customWidth="1"/>
    <col min="8714" max="8714" width="24" style="2" bestFit="1" customWidth="1"/>
    <col min="8715" max="8715" width="18.7109375" style="2" bestFit="1" customWidth="1"/>
    <col min="8716" max="8716" width="19.42578125" style="2" bestFit="1" customWidth="1"/>
    <col min="8717" max="8717" width="0.5703125" style="2" customWidth="1"/>
    <col min="8718" max="8719" width="18.7109375" style="2" bestFit="1" customWidth="1"/>
    <col min="8720" max="8720" width="16.5703125" style="2" customWidth="1"/>
    <col min="8721" max="8721" width="0.7109375" style="2" customWidth="1"/>
    <col min="8722" max="8723" width="19.85546875" style="2" bestFit="1" customWidth="1"/>
    <col min="8724" max="8724" width="18.7109375" style="2" bestFit="1" customWidth="1"/>
    <col min="8725" max="8725" width="14.5703125" style="2" customWidth="1"/>
    <col min="8726" max="8726" width="9.140625" style="2"/>
    <col min="8727" max="8727" width="13.140625" style="2" bestFit="1" customWidth="1"/>
    <col min="8728" max="8960" width="9.140625" style="2"/>
    <col min="8961" max="8964" width="2.7109375" style="2" customWidth="1"/>
    <col min="8965" max="8965" width="50.5703125" style="2" customWidth="1"/>
    <col min="8966" max="8967" width="19.28515625" style="2" customWidth="1"/>
    <col min="8968" max="8968" width="18.5703125" style="2" customWidth="1"/>
    <col min="8969" max="8969" width="0.7109375" style="2" customWidth="1"/>
    <col min="8970" max="8970" width="24" style="2" bestFit="1" customWidth="1"/>
    <col min="8971" max="8971" width="18.7109375" style="2" bestFit="1" customWidth="1"/>
    <col min="8972" max="8972" width="19.42578125" style="2" bestFit="1" customWidth="1"/>
    <col min="8973" max="8973" width="0.5703125" style="2" customWidth="1"/>
    <col min="8974" max="8975" width="18.7109375" style="2" bestFit="1" customWidth="1"/>
    <col min="8976" max="8976" width="16.5703125" style="2" customWidth="1"/>
    <col min="8977" max="8977" width="0.7109375" style="2" customWidth="1"/>
    <col min="8978" max="8979" width="19.85546875" style="2" bestFit="1" customWidth="1"/>
    <col min="8980" max="8980" width="18.7109375" style="2" bestFit="1" customWidth="1"/>
    <col min="8981" max="8981" width="14.5703125" style="2" customWidth="1"/>
    <col min="8982" max="8982" width="9.140625" style="2"/>
    <col min="8983" max="8983" width="13.140625" style="2" bestFit="1" customWidth="1"/>
    <col min="8984" max="9216" width="9.140625" style="2"/>
    <col min="9217" max="9220" width="2.7109375" style="2" customWidth="1"/>
    <col min="9221" max="9221" width="50.5703125" style="2" customWidth="1"/>
    <col min="9222" max="9223" width="19.28515625" style="2" customWidth="1"/>
    <col min="9224" max="9224" width="18.5703125" style="2" customWidth="1"/>
    <col min="9225" max="9225" width="0.7109375" style="2" customWidth="1"/>
    <col min="9226" max="9226" width="24" style="2" bestFit="1" customWidth="1"/>
    <col min="9227" max="9227" width="18.7109375" style="2" bestFit="1" customWidth="1"/>
    <col min="9228" max="9228" width="19.42578125" style="2" bestFit="1" customWidth="1"/>
    <col min="9229" max="9229" width="0.5703125" style="2" customWidth="1"/>
    <col min="9230" max="9231" width="18.7109375" style="2" bestFit="1" customWidth="1"/>
    <col min="9232" max="9232" width="16.5703125" style="2" customWidth="1"/>
    <col min="9233" max="9233" width="0.7109375" style="2" customWidth="1"/>
    <col min="9234" max="9235" width="19.85546875" style="2" bestFit="1" customWidth="1"/>
    <col min="9236" max="9236" width="18.7109375" style="2" bestFit="1" customWidth="1"/>
    <col min="9237" max="9237" width="14.5703125" style="2" customWidth="1"/>
    <col min="9238" max="9238" width="9.140625" style="2"/>
    <col min="9239" max="9239" width="13.140625" style="2" bestFit="1" customWidth="1"/>
    <col min="9240" max="9472" width="9.140625" style="2"/>
    <col min="9473" max="9476" width="2.7109375" style="2" customWidth="1"/>
    <col min="9477" max="9477" width="50.5703125" style="2" customWidth="1"/>
    <col min="9478" max="9479" width="19.28515625" style="2" customWidth="1"/>
    <col min="9480" max="9480" width="18.5703125" style="2" customWidth="1"/>
    <col min="9481" max="9481" width="0.7109375" style="2" customWidth="1"/>
    <col min="9482" max="9482" width="24" style="2" bestFit="1" customWidth="1"/>
    <col min="9483" max="9483" width="18.7109375" style="2" bestFit="1" customWidth="1"/>
    <col min="9484" max="9484" width="19.42578125" style="2" bestFit="1" customWidth="1"/>
    <col min="9485" max="9485" width="0.5703125" style="2" customWidth="1"/>
    <col min="9486" max="9487" width="18.7109375" style="2" bestFit="1" customWidth="1"/>
    <col min="9488" max="9488" width="16.5703125" style="2" customWidth="1"/>
    <col min="9489" max="9489" width="0.7109375" style="2" customWidth="1"/>
    <col min="9490" max="9491" width="19.85546875" style="2" bestFit="1" customWidth="1"/>
    <col min="9492" max="9492" width="18.7109375" style="2" bestFit="1" customWidth="1"/>
    <col min="9493" max="9493" width="14.5703125" style="2" customWidth="1"/>
    <col min="9494" max="9494" width="9.140625" style="2"/>
    <col min="9495" max="9495" width="13.140625" style="2" bestFit="1" customWidth="1"/>
    <col min="9496" max="9728" width="9.140625" style="2"/>
    <col min="9729" max="9732" width="2.7109375" style="2" customWidth="1"/>
    <col min="9733" max="9733" width="50.5703125" style="2" customWidth="1"/>
    <col min="9734" max="9735" width="19.28515625" style="2" customWidth="1"/>
    <col min="9736" max="9736" width="18.5703125" style="2" customWidth="1"/>
    <col min="9737" max="9737" width="0.7109375" style="2" customWidth="1"/>
    <col min="9738" max="9738" width="24" style="2" bestFit="1" customWidth="1"/>
    <col min="9739" max="9739" width="18.7109375" style="2" bestFit="1" customWidth="1"/>
    <col min="9740" max="9740" width="19.42578125" style="2" bestFit="1" customWidth="1"/>
    <col min="9741" max="9741" width="0.5703125" style="2" customWidth="1"/>
    <col min="9742" max="9743" width="18.7109375" style="2" bestFit="1" customWidth="1"/>
    <col min="9744" max="9744" width="16.5703125" style="2" customWidth="1"/>
    <col min="9745" max="9745" width="0.7109375" style="2" customWidth="1"/>
    <col min="9746" max="9747" width="19.85546875" style="2" bestFit="1" customWidth="1"/>
    <col min="9748" max="9748" width="18.7109375" style="2" bestFit="1" customWidth="1"/>
    <col min="9749" max="9749" width="14.5703125" style="2" customWidth="1"/>
    <col min="9750" max="9750" width="9.140625" style="2"/>
    <col min="9751" max="9751" width="13.140625" style="2" bestFit="1" customWidth="1"/>
    <col min="9752" max="9984" width="9.140625" style="2"/>
    <col min="9985" max="9988" width="2.7109375" style="2" customWidth="1"/>
    <col min="9989" max="9989" width="50.5703125" style="2" customWidth="1"/>
    <col min="9990" max="9991" width="19.28515625" style="2" customWidth="1"/>
    <col min="9992" max="9992" width="18.5703125" style="2" customWidth="1"/>
    <col min="9993" max="9993" width="0.7109375" style="2" customWidth="1"/>
    <col min="9994" max="9994" width="24" style="2" bestFit="1" customWidth="1"/>
    <col min="9995" max="9995" width="18.7109375" style="2" bestFit="1" customWidth="1"/>
    <col min="9996" max="9996" width="19.42578125" style="2" bestFit="1" customWidth="1"/>
    <col min="9997" max="9997" width="0.5703125" style="2" customWidth="1"/>
    <col min="9998" max="9999" width="18.7109375" style="2" bestFit="1" customWidth="1"/>
    <col min="10000" max="10000" width="16.5703125" style="2" customWidth="1"/>
    <col min="10001" max="10001" width="0.7109375" style="2" customWidth="1"/>
    <col min="10002" max="10003" width="19.85546875" style="2" bestFit="1" customWidth="1"/>
    <col min="10004" max="10004" width="18.7109375" style="2" bestFit="1" customWidth="1"/>
    <col min="10005" max="10005" width="14.5703125" style="2" customWidth="1"/>
    <col min="10006" max="10006" width="9.140625" style="2"/>
    <col min="10007" max="10007" width="13.140625" style="2" bestFit="1" customWidth="1"/>
    <col min="10008" max="10240" width="9.140625" style="2"/>
    <col min="10241" max="10244" width="2.7109375" style="2" customWidth="1"/>
    <col min="10245" max="10245" width="50.5703125" style="2" customWidth="1"/>
    <col min="10246" max="10247" width="19.28515625" style="2" customWidth="1"/>
    <col min="10248" max="10248" width="18.5703125" style="2" customWidth="1"/>
    <col min="10249" max="10249" width="0.7109375" style="2" customWidth="1"/>
    <col min="10250" max="10250" width="24" style="2" bestFit="1" customWidth="1"/>
    <col min="10251" max="10251" width="18.7109375" style="2" bestFit="1" customWidth="1"/>
    <col min="10252" max="10252" width="19.42578125" style="2" bestFit="1" customWidth="1"/>
    <col min="10253" max="10253" width="0.5703125" style="2" customWidth="1"/>
    <col min="10254" max="10255" width="18.7109375" style="2" bestFit="1" customWidth="1"/>
    <col min="10256" max="10256" width="16.5703125" style="2" customWidth="1"/>
    <col min="10257" max="10257" width="0.7109375" style="2" customWidth="1"/>
    <col min="10258" max="10259" width="19.85546875" style="2" bestFit="1" customWidth="1"/>
    <col min="10260" max="10260" width="18.7109375" style="2" bestFit="1" customWidth="1"/>
    <col min="10261" max="10261" width="14.5703125" style="2" customWidth="1"/>
    <col min="10262" max="10262" width="9.140625" style="2"/>
    <col min="10263" max="10263" width="13.140625" style="2" bestFit="1" customWidth="1"/>
    <col min="10264" max="10496" width="9.140625" style="2"/>
    <col min="10497" max="10500" width="2.7109375" style="2" customWidth="1"/>
    <col min="10501" max="10501" width="50.5703125" style="2" customWidth="1"/>
    <col min="10502" max="10503" width="19.28515625" style="2" customWidth="1"/>
    <col min="10504" max="10504" width="18.5703125" style="2" customWidth="1"/>
    <col min="10505" max="10505" width="0.7109375" style="2" customWidth="1"/>
    <col min="10506" max="10506" width="24" style="2" bestFit="1" customWidth="1"/>
    <col min="10507" max="10507" width="18.7109375" style="2" bestFit="1" customWidth="1"/>
    <col min="10508" max="10508" width="19.42578125" style="2" bestFit="1" customWidth="1"/>
    <col min="10509" max="10509" width="0.5703125" style="2" customWidth="1"/>
    <col min="10510" max="10511" width="18.7109375" style="2" bestFit="1" customWidth="1"/>
    <col min="10512" max="10512" width="16.5703125" style="2" customWidth="1"/>
    <col min="10513" max="10513" width="0.7109375" style="2" customWidth="1"/>
    <col min="10514" max="10515" width="19.85546875" style="2" bestFit="1" customWidth="1"/>
    <col min="10516" max="10516" width="18.7109375" style="2" bestFit="1" customWidth="1"/>
    <col min="10517" max="10517" width="14.5703125" style="2" customWidth="1"/>
    <col min="10518" max="10518" width="9.140625" style="2"/>
    <col min="10519" max="10519" width="13.140625" style="2" bestFit="1" customWidth="1"/>
    <col min="10520" max="10752" width="9.140625" style="2"/>
    <col min="10753" max="10756" width="2.7109375" style="2" customWidth="1"/>
    <col min="10757" max="10757" width="50.5703125" style="2" customWidth="1"/>
    <col min="10758" max="10759" width="19.28515625" style="2" customWidth="1"/>
    <col min="10760" max="10760" width="18.5703125" style="2" customWidth="1"/>
    <col min="10761" max="10761" width="0.7109375" style="2" customWidth="1"/>
    <col min="10762" max="10762" width="24" style="2" bestFit="1" customWidth="1"/>
    <col min="10763" max="10763" width="18.7109375" style="2" bestFit="1" customWidth="1"/>
    <col min="10764" max="10764" width="19.42578125" style="2" bestFit="1" customWidth="1"/>
    <col min="10765" max="10765" width="0.5703125" style="2" customWidth="1"/>
    <col min="10766" max="10767" width="18.7109375" style="2" bestFit="1" customWidth="1"/>
    <col min="10768" max="10768" width="16.5703125" style="2" customWidth="1"/>
    <col min="10769" max="10769" width="0.7109375" style="2" customWidth="1"/>
    <col min="10770" max="10771" width="19.85546875" style="2" bestFit="1" customWidth="1"/>
    <col min="10772" max="10772" width="18.7109375" style="2" bestFit="1" customWidth="1"/>
    <col min="10773" max="10773" width="14.5703125" style="2" customWidth="1"/>
    <col min="10774" max="10774" width="9.140625" style="2"/>
    <col min="10775" max="10775" width="13.140625" style="2" bestFit="1" customWidth="1"/>
    <col min="10776" max="11008" width="9.140625" style="2"/>
    <col min="11009" max="11012" width="2.7109375" style="2" customWidth="1"/>
    <col min="11013" max="11013" width="50.5703125" style="2" customWidth="1"/>
    <col min="11014" max="11015" width="19.28515625" style="2" customWidth="1"/>
    <col min="11016" max="11016" width="18.5703125" style="2" customWidth="1"/>
    <col min="11017" max="11017" width="0.7109375" style="2" customWidth="1"/>
    <col min="11018" max="11018" width="24" style="2" bestFit="1" customWidth="1"/>
    <col min="11019" max="11019" width="18.7109375" style="2" bestFit="1" customWidth="1"/>
    <col min="11020" max="11020" width="19.42578125" style="2" bestFit="1" customWidth="1"/>
    <col min="11021" max="11021" width="0.5703125" style="2" customWidth="1"/>
    <col min="11022" max="11023" width="18.7109375" style="2" bestFit="1" customWidth="1"/>
    <col min="11024" max="11024" width="16.5703125" style="2" customWidth="1"/>
    <col min="11025" max="11025" width="0.7109375" style="2" customWidth="1"/>
    <col min="11026" max="11027" width="19.85546875" style="2" bestFit="1" customWidth="1"/>
    <col min="11028" max="11028" width="18.7109375" style="2" bestFit="1" customWidth="1"/>
    <col min="11029" max="11029" width="14.5703125" style="2" customWidth="1"/>
    <col min="11030" max="11030" width="9.140625" style="2"/>
    <col min="11031" max="11031" width="13.140625" style="2" bestFit="1" customWidth="1"/>
    <col min="11032" max="11264" width="9.140625" style="2"/>
    <col min="11265" max="11268" width="2.7109375" style="2" customWidth="1"/>
    <col min="11269" max="11269" width="50.5703125" style="2" customWidth="1"/>
    <col min="11270" max="11271" width="19.28515625" style="2" customWidth="1"/>
    <col min="11272" max="11272" width="18.5703125" style="2" customWidth="1"/>
    <col min="11273" max="11273" width="0.7109375" style="2" customWidth="1"/>
    <col min="11274" max="11274" width="24" style="2" bestFit="1" customWidth="1"/>
    <col min="11275" max="11275" width="18.7109375" style="2" bestFit="1" customWidth="1"/>
    <col min="11276" max="11276" width="19.42578125" style="2" bestFit="1" customWidth="1"/>
    <col min="11277" max="11277" width="0.5703125" style="2" customWidth="1"/>
    <col min="11278" max="11279" width="18.7109375" style="2" bestFit="1" customWidth="1"/>
    <col min="11280" max="11280" width="16.5703125" style="2" customWidth="1"/>
    <col min="11281" max="11281" width="0.7109375" style="2" customWidth="1"/>
    <col min="11282" max="11283" width="19.85546875" style="2" bestFit="1" customWidth="1"/>
    <col min="11284" max="11284" width="18.7109375" style="2" bestFit="1" customWidth="1"/>
    <col min="11285" max="11285" width="14.5703125" style="2" customWidth="1"/>
    <col min="11286" max="11286" width="9.140625" style="2"/>
    <col min="11287" max="11287" width="13.140625" style="2" bestFit="1" customWidth="1"/>
    <col min="11288" max="11520" width="9.140625" style="2"/>
    <col min="11521" max="11524" width="2.7109375" style="2" customWidth="1"/>
    <col min="11525" max="11525" width="50.5703125" style="2" customWidth="1"/>
    <col min="11526" max="11527" width="19.28515625" style="2" customWidth="1"/>
    <col min="11528" max="11528" width="18.5703125" style="2" customWidth="1"/>
    <col min="11529" max="11529" width="0.7109375" style="2" customWidth="1"/>
    <col min="11530" max="11530" width="24" style="2" bestFit="1" customWidth="1"/>
    <col min="11531" max="11531" width="18.7109375" style="2" bestFit="1" customWidth="1"/>
    <col min="11532" max="11532" width="19.42578125" style="2" bestFit="1" customWidth="1"/>
    <col min="11533" max="11533" width="0.5703125" style="2" customWidth="1"/>
    <col min="11534" max="11535" width="18.7109375" style="2" bestFit="1" customWidth="1"/>
    <col min="11536" max="11536" width="16.5703125" style="2" customWidth="1"/>
    <col min="11537" max="11537" width="0.7109375" style="2" customWidth="1"/>
    <col min="11538" max="11539" width="19.85546875" style="2" bestFit="1" customWidth="1"/>
    <col min="11540" max="11540" width="18.7109375" style="2" bestFit="1" customWidth="1"/>
    <col min="11541" max="11541" width="14.5703125" style="2" customWidth="1"/>
    <col min="11542" max="11542" width="9.140625" style="2"/>
    <col min="11543" max="11543" width="13.140625" style="2" bestFit="1" customWidth="1"/>
    <col min="11544" max="11776" width="9.140625" style="2"/>
    <col min="11777" max="11780" width="2.7109375" style="2" customWidth="1"/>
    <col min="11781" max="11781" width="50.5703125" style="2" customWidth="1"/>
    <col min="11782" max="11783" width="19.28515625" style="2" customWidth="1"/>
    <col min="11784" max="11784" width="18.5703125" style="2" customWidth="1"/>
    <col min="11785" max="11785" width="0.7109375" style="2" customWidth="1"/>
    <col min="11786" max="11786" width="24" style="2" bestFit="1" customWidth="1"/>
    <col min="11787" max="11787" width="18.7109375" style="2" bestFit="1" customWidth="1"/>
    <col min="11788" max="11788" width="19.42578125" style="2" bestFit="1" customWidth="1"/>
    <col min="11789" max="11789" width="0.5703125" style="2" customWidth="1"/>
    <col min="11790" max="11791" width="18.7109375" style="2" bestFit="1" customWidth="1"/>
    <col min="11792" max="11792" width="16.5703125" style="2" customWidth="1"/>
    <col min="11793" max="11793" width="0.7109375" style="2" customWidth="1"/>
    <col min="11794" max="11795" width="19.85546875" style="2" bestFit="1" customWidth="1"/>
    <col min="11796" max="11796" width="18.7109375" style="2" bestFit="1" customWidth="1"/>
    <col min="11797" max="11797" width="14.5703125" style="2" customWidth="1"/>
    <col min="11798" max="11798" width="9.140625" style="2"/>
    <col min="11799" max="11799" width="13.140625" style="2" bestFit="1" customWidth="1"/>
    <col min="11800" max="12032" width="9.140625" style="2"/>
    <col min="12033" max="12036" width="2.7109375" style="2" customWidth="1"/>
    <col min="12037" max="12037" width="50.5703125" style="2" customWidth="1"/>
    <col min="12038" max="12039" width="19.28515625" style="2" customWidth="1"/>
    <col min="12040" max="12040" width="18.5703125" style="2" customWidth="1"/>
    <col min="12041" max="12041" width="0.7109375" style="2" customWidth="1"/>
    <col min="12042" max="12042" width="24" style="2" bestFit="1" customWidth="1"/>
    <col min="12043" max="12043" width="18.7109375" style="2" bestFit="1" customWidth="1"/>
    <col min="12044" max="12044" width="19.42578125" style="2" bestFit="1" customWidth="1"/>
    <col min="12045" max="12045" width="0.5703125" style="2" customWidth="1"/>
    <col min="12046" max="12047" width="18.7109375" style="2" bestFit="1" customWidth="1"/>
    <col min="12048" max="12048" width="16.5703125" style="2" customWidth="1"/>
    <col min="12049" max="12049" width="0.7109375" style="2" customWidth="1"/>
    <col min="12050" max="12051" width="19.85546875" style="2" bestFit="1" customWidth="1"/>
    <col min="12052" max="12052" width="18.7109375" style="2" bestFit="1" customWidth="1"/>
    <col min="12053" max="12053" width="14.5703125" style="2" customWidth="1"/>
    <col min="12054" max="12054" width="9.140625" style="2"/>
    <col min="12055" max="12055" width="13.140625" style="2" bestFit="1" customWidth="1"/>
    <col min="12056" max="12288" width="9.140625" style="2"/>
    <col min="12289" max="12292" width="2.7109375" style="2" customWidth="1"/>
    <col min="12293" max="12293" width="50.5703125" style="2" customWidth="1"/>
    <col min="12294" max="12295" width="19.28515625" style="2" customWidth="1"/>
    <col min="12296" max="12296" width="18.5703125" style="2" customWidth="1"/>
    <col min="12297" max="12297" width="0.7109375" style="2" customWidth="1"/>
    <col min="12298" max="12298" width="24" style="2" bestFit="1" customWidth="1"/>
    <col min="12299" max="12299" width="18.7109375" style="2" bestFit="1" customWidth="1"/>
    <col min="12300" max="12300" width="19.42578125" style="2" bestFit="1" customWidth="1"/>
    <col min="12301" max="12301" width="0.5703125" style="2" customWidth="1"/>
    <col min="12302" max="12303" width="18.7109375" style="2" bestFit="1" customWidth="1"/>
    <col min="12304" max="12304" width="16.5703125" style="2" customWidth="1"/>
    <col min="12305" max="12305" width="0.7109375" style="2" customWidth="1"/>
    <col min="12306" max="12307" width="19.85546875" style="2" bestFit="1" customWidth="1"/>
    <col min="12308" max="12308" width="18.7109375" style="2" bestFit="1" customWidth="1"/>
    <col min="12309" max="12309" width="14.5703125" style="2" customWidth="1"/>
    <col min="12310" max="12310" width="9.140625" style="2"/>
    <col min="12311" max="12311" width="13.140625" style="2" bestFit="1" customWidth="1"/>
    <col min="12312" max="12544" width="9.140625" style="2"/>
    <col min="12545" max="12548" width="2.7109375" style="2" customWidth="1"/>
    <col min="12549" max="12549" width="50.5703125" style="2" customWidth="1"/>
    <col min="12550" max="12551" width="19.28515625" style="2" customWidth="1"/>
    <col min="12552" max="12552" width="18.5703125" style="2" customWidth="1"/>
    <col min="12553" max="12553" width="0.7109375" style="2" customWidth="1"/>
    <col min="12554" max="12554" width="24" style="2" bestFit="1" customWidth="1"/>
    <col min="12555" max="12555" width="18.7109375" style="2" bestFit="1" customWidth="1"/>
    <col min="12556" max="12556" width="19.42578125" style="2" bestFit="1" customWidth="1"/>
    <col min="12557" max="12557" width="0.5703125" style="2" customWidth="1"/>
    <col min="12558" max="12559" width="18.7109375" style="2" bestFit="1" customWidth="1"/>
    <col min="12560" max="12560" width="16.5703125" style="2" customWidth="1"/>
    <col min="12561" max="12561" width="0.7109375" style="2" customWidth="1"/>
    <col min="12562" max="12563" width="19.85546875" style="2" bestFit="1" customWidth="1"/>
    <col min="12564" max="12564" width="18.7109375" style="2" bestFit="1" customWidth="1"/>
    <col min="12565" max="12565" width="14.5703125" style="2" customWidth="1"/>
    <col min="12566" max="12566" width="9.140625" style="2"/>
    <col min="12567" max="12567" width="13.140625" style="2" bestFit="1" customWidth="1"/>
    <col min="12568" max="12800" width="9.140625" style="2"/>
    <col min="12801" max="12804" width="2.7109375" style="2" customWidth="1"/>
    <col min="12805" max="12805" width="50.5703125" style="2" customWidth="1"/>
    <col min="12806" max="12807" width="19.28515625" style="2" customWidth="1"/>
    <col min="12808" max="12808" width="18.5703125" style="2" customWidth="1"/>
    <col min="12809" max="12809" width="0.7109375" style="2" customWidth="1"/>
    <col min="12810" max="12810" width="24" style="2" bestFit="1" customWidth="1"/>
    <col min="12811" max="12811" width="18.7109375" style="2" bestFit="1" customWidth="1"/>
    <col min="12812" max="12812" width="19.42578125" style="2" bestFit="1" customWidth="1"/>
    <col min="12813" max="12813" width="0.5703125" style="2" customWidth="1"/>
    <col min="12814" max="12815" width="18.7109375" style="2" bestFit="1" customWidth="1"/>
    <col min="12816" max="12816" width="16.5703125" style="2" customWidth="1"/>
    <col min="12817" max="12817" width="0.7109375" style="2" customWidth="1"/>
    <col min="12818" max="12819" width="19.85546875" style="2" bestFit="1" customWidth="1"/>
    <col min="12820" max="12820" width="18.7109375" style="2" bestFit="1" customWidth="1"/>
    <col min="12821" max="12821" width="14.5703125" style="2" customWidth="1"/>
    <col min="12822" max="12822" width="9.140625" style="2"/>
    <col min="12823" max="12823" width="13.140625" style="2" bestFit="1" customWidth="1"/>
    <col min="12824" max="13056" width="9.140625" style="2"/>
    <col min="13057" max="13060" width="2.7109375" style="2" customWidth="1"/>
    <col min="13061" max="13061" width="50.5703125" style="2" customWidth="1"/>
    <col min="13062" max="13063" width="19.28515625" style="2" customWidth="1"/>
    <col min="13064" max="13064" width="18.5703125" style="2" customWidth="1"/>
    <col min="13065" max="13065" width="0.7109375" style="2" customWidth="1"/>
    <col min="13066" max="13066" width="24" style="2" bestFit="1" customWidth="1"/>
    <col min="13067" max="13067" width="18.7109375" style="2" bestFit="1" customWidth="1"/>
    <col min="13068" max="13068" width="19.42578125" style="2" bestFit="1" customWidth="1"/>
    <col min="13069" max="13069" width="0.5703125" style="2" customWidth="1"/>
    <col min="13070" max="13071" width="18.7109375" style="2" bestFit="1" customWidth="1"/>
    <col min="13072" max="13072" width="16.5703125" style="2" customWidth="1"/>
    <col min="13073" max="13073" width="0.7109375" style="2" customWidth="1"/>
    <col min="13074" max="13075" width="19.85546875" style="2" bestFit="1" customWidth="1"/>
    <col min="13076" max="13076" width="18.7109375" style="2" bestFit="1" customWidth="1"/>
    <col min="13077" max="13077" width="14.5703125" style="2" customWidth="1"/>
    <col min="13078" max="13078" width="9.140625" style="2"/>
    <col min="13079" max="13079" width="13.140625" style="2" bestFit="1" customWidth="1"/>
    <col min="13080" max="13312" width="9.140625" style="2"/>
    <col min="13313" max="13316" width="2.7109375" style="2" customWidth="1"/>
    <col min="13317" max="13317" width="50.5703125" style="2" customWidth="1"/>
    <col min="13318" max="13319" width="19.28515625" style="2" customWidth="1"/>
    <col min="13320" max="13320" width="18.5703125" style="2" customWidth="1"/>
    <col min="13321" max="13321" width="0.7109375" style="2" customWidth="1"/>
    <col min="13322" max="13322" width="24" style="2" bestFit="1" customWidth="1"/>
    <col min="13323" max="13323" width="18.7109375" style="2" bestFit="1" customWidth="1"/>
    <col min="13324" max="13324" width="19.42578125" style="2" bestFit="1" customWidth="1"/>
    <col min="13325" max="13325" width="0.5703125" style="2" customWidth="1"/>
    <col min="13326" max="13327" width="18.7109375" style="2" bestFit="1" customWidth="1"/>
    <col min="13328" max="13328" width="16.5703125" style="2" customWidth="1"/>
    <col min="13329" max="13329" width="0.7109375" style="2" customWidth="1"/>
    <col min="13330" max="13331" width="19.85546875" style="2" bestFit="1" customWidth="1"/>
    <col min="13332" max="13332" width="18.7109375" style="2" bestFit="1" customWidth="1"/>
    <col min="13333" max="13333" width="14.5703125" style="2" customWidth="1"/>
    <col min="13334" max="13334" width="9.140625" style="2"/>
    <col min="13335" max="13335" width="13.140625" style="2" bestFit="1" customWidth="1"/>
    <col min="13336" max="13568" width="9.140625" style="2"/>
    <col min="13569" max="13572" width="2.7109375" style="2" customWidth="1"/>
    <col min="13573" max="13573" width="50.5703125" style="2" customWidth="1"/>
    <col min="13574" max="13575" width="19.28515625" style="2" customWidth="1"/>
    <col min="13576" max="13576" width="18.5703125" style="2" customWidth="1"/>
    <col min="13577" max="13577" width="0.7109375" style="2" customWidth="1"/>
    <col min="13578" max="13578" width="24" style="2" bestFit="1" customWidth="1"/>
    <col min="13579" max="13579" width="18.7109375" style="2" bestFit="1" customWidth="1"/>
    <col min="13580" max="13580" width="19.42578125" style="2" bestFit="1" customWidth="1"/>
    <col min="13581" max="13581" width="0.5703125" style="2" customWidth="1"/>
    <col min="13582" max="13583" width="18.7109375" style="2" bestFit="1" customWidth="1"/>
    <col min="13584" max="13584" width="16.5703125" style="2" customWidth="1"/>
    <col min="13585" max="13585" width="0.7109375" style="2" customWidth="1"/>
    <col min="13586" max="13587" width="19.85546875" style="2" bestFit="1" customWidth="1"/>
    <col min="13588" max="13588" width="18.7109375" style="2" bestFit="1" customWidth="1"/>
    <col min="13589" max="13589" width="14.5703125" style="2" customWidth="1"/>
    <col min="13590" max="13590" width="9.140625" style="2"/>
    <col min="13591" max="13591" width="13.140625" style="2" bestFit="1" customWidth="1"/>
    <col min="13592" max="13824" width="9.140625" style="2"/>
    <col min="13825" max="13828" width="2.7109375" style="2" customWidth="1"/>
    <col min="13829" max="13829" width="50.5703125" style="2" customWidth="1"/>
    <col min="13830" max="13831" width="19.28515625" style="2" customWidth="1"/>
    <col min="13832" max="13832" width="18.5703125" style="2" customWidth="1"/>
    <col min="13833" max="13833" width="0.7109375" style="2" customWidth="1"/>
    <col min="13834" max="13834" width="24" style="2" bestFit="1" customWidth="1"/>
    <col min="13835" max="13835" width="18.7109375" style="2" bestFit="1" customWidth="1"/>
    <col min="13836" max="13836" width="19.42578125" style="2" bestFit="1" customWidth="1"/>
    <col min="13837" max="13837" width="0.5703125" style="2" customWidth="1"/>
    <col min="13838" max="13839" width="18.7109375" style="2" bestFit="1" customWidth="1"/>
    <col min="13840" max="13840" width="16.5703125" style="2" customWidth="1"/>
    <col min="13841" max="13841" width="0.7109375" style="2" customWidth="1"/>
    <col min="13842" max="13843" width="19.85546875" style="2" bestFit="1" customWidth="1"/>
    <col min="13844" max="13844" width="18.7109375" style="2" bestFit="1" customWidth="1"/>
    <col min="13845" max="13845" width="14.5703125" style="2" customWidth="1"/>
    <col min="13846" max="13846" width="9.140625" style="2"/>
    <col min="13847" max="13847" width="13.140625" style="2" bestFit="1" customWidth="1"/>
    <col min="13848" max="14080" width="9.140625" style="2"/>
    <col min="14081" max="14084" width="2.7109375" style="2" customWidth="1"/>
    <col min="14085" max="14085" width="50.5703125" style="2" customWidth="1"/>
    <col min="14086" max="14087" width="19.28515625" style="2" customWidth="1"/>
    <col min="14088" max="14088" width="18.5703125" style="2" customWidth="1"/>
    <col min="14089" max="14089" width="0.7109375" style="2" customWidth="1"/>
    <col min="14090" max="14090" width="24" style="2" bestFit="1" customWidth="1"/>
    <col min="14091" max="14091" width="18.7109375" style="2" bestFit="1" customWidth="1"/>
    <col min="14092" max="14092" width="19.42578125" style="2" bestFit="1" customWidth="1"/>
    <col min="14093" max="14093" width="0.5703125" style="2" customWidth="1"/>
    <col min="14094" max="14095" width="18.7109375" style="2" bestFit="1" customWidth="1"/>
    <col min="14096" max="14096" width="16.5703125" style="2" customWidth="1"/>
    <col min="14097" max="14097" width="0.7109375" style="2" customWidth="1"/>
    <col min="14098" max="14099" width="19.85546875" style="2" bestFit="1" customWidth="1"/>
    <col min="14100" max="14100" width="18.7109375" style="2" bestFit="1" customWidth="1"/>
    <col min="14101" max="14101" width="14.5703125" style="2" customWidth="1"/>
    <col min="14102" max="14102" width="9.140625" style="2"/>
    <col min="14103" max="14103" width="13.140625" style="2" bestFit="1" customWidth="1"/>
    <col min="14104" max="14336" width="9.140625" style="2"/>
    <col min="14337" max="14340" width="2.7109375" style="2" customWidth="1"/>
    <col min="14341" max="14341" width="50.5703125" style="2" customWidth="1"/>
    <col min="14342" max="14343" width="19.28515625" style="2" customWidth="1"/>
    <col min="14344" max="14344" width="18.5703125" style="2" customWidth="1"/>
    <col min="14345" max="14345" width="0.7109375" style="2" customWidth="1"/>
    <col min="14346" max="14346" width="24" style="2" bestFit="1" customWidth="1"/>
    <col min="14347" max="14347" width="18.7109375" style="2" bestFit="1" customWidth="1"/>
    <col min="14348" max="14348" width="19.42578125" style="2" bestFit="1" customWidth="1"/>
    <col min="14349" max="14349" width="0.5703125" style="2" customWidth="1"/>
    <col min="14350" max="14351" width="18.7109375" style="2" bestFit="1" customWidth="1"/>
    <col min="14352" max="14352" width="16.5703125" style="2" customWidth="1"/>
    <col min="14353" max="14353" width="0.7109375" style="2" customWidth="1"/>
    <col min="14354" max="14355" width="19.85546875" style="2" bestFit="1" customWidth="1"/>
    <col min="14356" max="14356" width="18.7109375" style="2" bestFit="1" customWidth="1"/>
    <col min="14357" max="14357" width="14.5703125" style="2" customWidth="1"/>
    <col min="14358" max="14358" width="9.140625" style="2"/>
    <col min="14359" max="14359" width="13.140625" style="2" bestFit="1" customWidth="1"/>
    <col min="14360" max="14592" width="9.140625" style="2"/>
    <col min="14593" max="14596" width="2.7109375" style="2" customWidth="1"/>
    <col min="14597" max="14597" width="50.5703125" style="2" customWidth="1"/>
    <col min="14598" max="14599" width="19.28515625" style="2" customWidth="1"/>
    <col min="14600" max="14600" width="18.5703125" style="2" customWidth="1"/>
    <col min="14601" max="14601" width="0.7109375" style="2" customWidth="1"/>
    <col min="14602" max="14602" width="24" style="2" bestFit="1" customWidth="1"/>
    <col min="14603" max="14603" width="18.7109375" style="2" bestFit="1" customWidth="1"/>
    <col min="14604" max="14604" width="19.42578125" style="2" bestFit="1" customWidth="1"/>
    <col min="14605" max="14605" width="0.5703125" style="2" customWidth="1"/>
    <col min="14606" max="14607" width="18.7109375" style="2" bestFit="1" customWidth="1"/>
    <col min="14608" max="14608" width="16.5703125" style="2" customWidth="1"/>
    <col min="14609" max="14609" width="0.7109375" style="2" customWidth="1"/>
    <col min="14610" max="14611" width="19.85546875" style="2" bestFit="1" customWidth="1"/>
    <col min="14612" max="14612" width="18.7109375" style="2" bestFit="1" customWidth="1"/>
    <col min="14613" max="14613" width="14.5703125" style="2" customWidth="1"/>
    <col min="14614" max="14614" width="9.140625" style="2"/>
    <col min="14615" max="14615" width="13.140625" style="2" bestFit="1" customWidth="1"/>
    <col min="14616" max="14848" width="9.140625" style="2"/>
    <col min="14849" max="14852" width="2.7109375" style="2" customWidth="1"/>
    <col min="14853" max="14853" width="50.5703125" style="2" customWidth="1"/>
    <col min="14854" max="14855" width="19.28515625" style="2" customWidth="1"/>
    <col min="14856" max="14856" width="18.5703125" style="2" customWidth="1"/>
    <col min="14857" max="14857" width="0.7109375" style="2" customWidth="1"/>
    <col min="14858" max="14858" width="24" style="2" bestFit="1" customWidth="1"/>
    <col min="14859" max="14859" width="18.7109375" style="2" bestFit="1" customWidth="1"/>
    <col min="14860" max="14860" width="19.42578125" style="2" bestFit="1" customWidth="1"/>
    <col min="14861" max="14861" width="0.5703125" style="2" customWidth="1"/>
    <col min="14862" max="14863" width="18.7109375" style="2" bestFit="1" customWidth="1"/>
    <col min="14864" max="14864" width="16.5703125" style="2" customWidth="1"/>
    <col min="14865" max="14865" width="0.7109375" style="2" customWidth="1"/>
    <col min="14866" max="14867" width="19.85546875" style="2" bestFit="1" customWidth="1"/>
    <col min="14868" max="14868" width="18.7109375" style="2" bestFit="1" customWidth="1"/>
    <col min="14869" max="14869" width="14.5703125" style="2" customWidth="1"/>
    <col min="14870" max="14870" width="9.140625" style="2"/>
    <col min="14871" max="14871" width="13.140625" style="2" bestFit="1" customWidth="1"/>
    <col min="14872" max="15104" width="9.140625" style="2"/>
    <col min="15105" max="15108" width="2.7109375" style="2" customWidth="1"/>
    <col min="15109" max="15109" width="50.5703125" style="2" customWidth="1"/>
    <col min="15110" max="15111" width="19.28515625" style="2" customWidth="1"/>
    <col min="15112" max="15112" width="18.5703125" style="2" customWidth="1"/>
    <col min="15113" max="15113" width="0.7109375" style="2" customWidth="1"/>
    <col min="15114" max="15114" width="24" style="2" bestFit="1" customWidth="1"/>
    <col min="15115" max="15115" width="18.7109375" style="2" bestFit="1" customWidth="1"/>
    <col min="15116" max="15116" width="19.42578125" style="2" bestFit="1" customWidth="1"/>
    <col min="15117" max="15117" width="0.5703125" style="2" customWidth="1"/>
    <col min="15118" max="15119" width="18.7109375" style="2" bestFit="1" customWidth="1"/>
    <col min="15120" max="15120" width="16.5703125" style="2" customWidth="1"/>
    <col min="15121" max="15121" width="0.7109375" style="2" customWidth="1"/>
    <col min="15122" max="15123" width="19.85546875" style="2" bestFit="1" customWidth="1"/>
    <col min="15124" max="15124" width="18.7109375" style="2" bestFit="1" customWidth="1"/>
    <col min="15125" max="15125" width="14.5703125" style="2" customWidth="1"/>
    <col min="15126" max="15126" width="9.140625" style="2"/>
    <col min="15127" max="15127" width="13.140625" style="2" bestFit="1" customWidth="1"/>
    <col min="15128" max="15360" width="9.140625" style="2"/>
    <col min="15361" max="15364" width="2.7109375" style="2" customWidth="1"/>
    <col min="15365" max="15365" width="50.5703125" style="2" customWidth="1"/>
    <col min="15366" max="15367" width="19.28515625" style="2" customWidth="1"/>
    <col min="15368" max="15368" width="18.5703125" style="2" customWidth="1"/>
    <col min="15369" max="15369" width="0.7109375" style="2" customWidth="1"/>
    <col min="15370" max="15370" width="24" style="2" bestFit="1" customWidth="1"/>
    <col min="15371" max="15371" width="18.7109375" style="2" bestFit="1" customWidth="1"/>
    <col min="15372" max="15372" width="19.42578125" style="2" bestFit="1" customWidth="1"/>
    <col min="15373" max="15373" width="0.5703125" style="2" customWidth="1"/>
    <col min="15374" max="15375" width="18.7109375" style="2" bestFit="1" customWidth="1"/>
    <col min="15376" max="15376" width="16.5703125" style="2" customWidth="1"/>
    <col min="15377" max="15377" width="0.7109375" style="2" customWidth="1"/>
    <col min="15378" max="15379" width="19.85546875" style="2" bestFit="1" customWidth="1"/>
    <col min="15380" max="15380" width="18.7109375" style="2" bestFit="1" customWidth="1"/>
    <col min="15381" max="15381" width="14.5703125" style="2" customWidth="1"/>
    <col min="15382" max="15382" width="9.140625" style="2"/>
    <col min="15383" max="15383" width="13.140625" style="2" bestFit="1" customWidth="1"/>
    <col min="15384" max="15616" width="9.140625" style="2"/>
    <col min="15617" max="15620" width="2.7109375" style="2" customWidth="1"/>
    <col min="15621" max="15621" width="50.5703125" style="2" customWidth="1"/>
    <col min="15622" max="15623" width="19.28515625" style="2" customWidth="1"/>
    <col min="15624" max="15624" width="18.5703125" style="2" customWidth="1"/>
    <col min="15625" max="15625" width="0.7109375" style="2" customWidth="1"/>
    <col min="15626" max="15626" width="24" style="2" bestFit="1" customWidth="1"/>
    <col min="15627" max="15627" width="18.7109375" style="2" bestFit="1" customWidth="1"/>
    <col min="15628" max="15628" width="19.42578125" style="2" bestFit="1" customWidth="1"/>
    <col min="15629" max="15629" width="0.5703125" style="2" customWidth="1"/>
    <col min="15630" max="15631" width="18.7109375" style="2" bestFit="1" customWidth="1"/>
    <col min="15632" max="15632" width="16.5703125" style="2" customWidth="1"/>
    <col min="15633" max="15633" width="0.7109375" style="2" customWidth="1"/>
    <col min="15634" max="15635" width="19.85546875" style="2" bestFit="1" customWidth="1"/>
    <col min="15636" max="15636" width="18.7109375" style="2" bestFit="1" customWidth="1"/>
    <col min="15637" max="15637" width="14.5703125" style="2" customWidth="1"/>
    <col min="15638" max="15638" width="9.140625" style="2"/>
    <col min="15639" max="15639" width="13.140625" style="2" bestFit="1" customWidth="1"/>
    <col min="15640" max="15872" width="9.140625" style="2"/>
    <col min="15873" max="15876" width="2.7109375" style="2" customWidth="1"/>
    <col min="15877" max="15877" width="50.5703125" style="2" customWidth="1"/>
    <col min="15878" max="15879" width="19.28515625" style="2" customWidth="1"/>
    <col min="15880" max="15880" width="18.5703125" style="2" customWidth="1"/>
    <col min="15881" max="15881" width="0.7109375" style="2" customWidth="1"/>
    <col min="15882" max="15882" width="24" style="2" bestFit="1" customWidth="1"/>
    <col min="15883" max="15883" width="18.7109375" style="2" bestFit="1" customWidth="1"/>
    <col min="15884" max="15884" width="19.42578125" style="2" bestFit="1" customWidth="1"/>
    <col min="15885" max="15885" width="0.5703125" style="2" customWidth="1"/>
    <col min="15886" max="15887" width="18.7109375" style="2" bestFit="1" customWidth="1"/>
    <col min="15888" max="15888" width="16.5703125" style="2" customWidth="1"/>
    <col min="15889" max="15889" width="0.7109375" style="2" customWidth="1"/>
    <col min="15890" max="15891" width="19.85546875" style="2" bestFit="1" customWidth="1"/>
    <col min="15892" max="15892" width="18.7109375" style="2" bestFit="1" customWidth="1"/>
    <col min="15893" max="15893" width="14.5703125" style="2" customWidth="1"/>
    <col min="15894" max="15894" width="9.140625" style="2"/>
    <col min="15895" max="15895" width="13.140625" style="2" bestFit="1" customWidth="1"/>
    <col min="15896" max="16128" width="9.140625" style="2"/>
    <col min="16129" max="16132" width="2.7109375" style="2" customWidth="1"/>
    <col min="16133" max="16133" width="50.5703125" style="2" customWidth="1"/>
    <col min="16134" max="16135" width="19.28515625" style="2" customWidth="1"/>
    <col min="16136" max="16136" width="18.5703125" style="2" customWidth="1"/>
    <col min="16137" max="16137" width="0.7109375" style="2" customWidth="1"/>
    <col min="16138" max="16138" width="24" style="2" bestFit="1" customWidth="1"/>
    <col min="16139" max="16139" width="18.7109375" style="2" bestFit="1" customWidth="1"/>
    <col min="16140" max="16140" width="19.42578125" style="2" bestFit="1" customWidth="1"/>
    <col min="16141" max="16141" width="0.5703125" style="2" customWidth="1"/>
    <col min="16142" max="16143" width="18.7109375" style="2" bestFit="1" customWidth="1"/>
    <col min="16144" max="16144" width="16.5703125" style="2" customWidth="1"/>
    <col min="16145" max="16145" width="0.7109375" style="2" customWidth="1"/>
    <col min="16146" max="16147" width="19.85546875" style="2" bestFit="1" customWidth="1"/>
    <col min="16148" max="16148" width="18.7109375" style="2" bestFit="1" customWidth="1"/>
    <col min="16149" max="16149" width="14.5703125" style="2" customWidth="1"/>
    <col min="16150" max="16150" width="9.140625" style="2"/>
    <col min="16151" max="16151" width="13.140625" style="2" bestFit="1" customWidth="1"/>
    <col min="16152" max="16384" width="9.140625" style="2"/>
  </cols>
  <sheetData>
    <row r="1" spans="2:21" ht="18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2:21" ht="20.25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21" ht="18">
      <c r="B3" s="131" t="s">
        <v>185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1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2:21" ht="24.95" customHeight="1">
      <c r="B5" s="134" t="s">
        <v>3</v>
      </c>
      <c r="C5" s="135"/>
      <c r="D5" s="135"/>
      <c r="E5" s="136"/>
      <c r="F5" s="140" t="s">
        <v>4</v>
      </c>
      <c r="G5" s="141"/>
      <c r="H5" s="142"/>
      <c r="I5" s="3"/>
      <c r="J5" s="140" t="s">
        <v>5</v>
      </c>
      <c r="K5" s="141"/>
      <c r="L5" s="142"/>
      <c r="M5" s="4"/>
      <c r="N5" s="140" t="s">
        <v>6</v>
      </c>
      <c r="O5" s="141"/>
      <c r="P5" s="142"/>
      <c r="Q5" s="3"/>
      <c r="R5" s="140" t="s">
        <v>7</v>
      </c>
      <c r="S5" s="141"/>
      <c r="T5" s="143"/>
      <c r="U5" s="127" t="s">
        <v>8</v>
      </c>
    </row>
    <row r="6" spans="2:21" s="8" customFormat="1" ht="28.5" customHeight="1" thickBot="1">
      <c r="B6" s="137"/>
      <c r="C6" s="138"/>
      <c r="D6" s="138"/>
      <c r="E6" s="139"/>
      <c r="F6" s="5" t="s">
        <v>9</v>
      </c>
      <c r="G6" s="6" t="s">
        <v>10</v>
      </c>
      <c r="H6" s="5" t="s">
        <v>11</v>
      </c>
      <c r="I6" s="6"/>
      <c r="J6" s="5" t="s">
        <v>12</v>
      </c>
      <c r="K6" s="6" t="s">
        <v>10</v>
      </c>
      <c r="L6" s="5" t="s">
        <v>11</v>
      </c>
      <c r="M6" s="5"/>
      <c r="N6" s="5" t="s">
        <v>9</v>
      </c>
      <c r="O6" s="6" t="s">
        <v>10</v>
      </c>
      <c r="P6" s="5" t="s">
        <v>11</v>
      </c>
      <c r="Q6" s="5"/>
      <c r="R6" s="6" t="s">
        <v>13</v>
      </c>
      <c r="S6" s="6" t="s">
        <v>10</v>
      </c>
      <c r="T6" s="7" t="s">
        <v>11</v>
      </c>
      <c r="U6" s="128"/>
    </row>
    <row r="7" spans="2:21" ht="24.95" customHeight="1">
      <c r="B7" s="9"/>
      <c r="C7" s="10"/>
      <c r="D7" s="10"/>
      <c r="E7" s="11"/>
      <c r="F7" s="12"/>
      <c r="G7" s="12"/>
      <c r="H7" s="12"/>
      <c r="I7" s="13"/>
      <c r="J7" s="12"/>
      <c r="K7" s="12"/>
      <c r="L7" s="12"/>
      <c r="M7" s="12"/>
      <c r="N7" s="12"/>
      <c r="O7" s="12"/>
      <c r="P7" s="12"/>
      <c r="Q7" s="13"/>
      <c r="R7" s="12"/>
      <c r="S7" s="12"/>
      <c r="T7" s="14"/>
      <c r="U7" s="15"/>
    </row>
    <row r="8" spans="2:21" ht="24.95" customHeight="1">
      <c r="B8" s="9" t="s">
        <v>14</v>
      </c>
      <c r="C8" s="10"/>
      <c r="D8" s="10"/>
      <c r="E8" s="11"/>
      <c r="F8" s="12">
        <f>4437276000-509955878.75</f>
        <v>3927320121.25</v>
      </c>
      <c r="G8" s="12">
        <f>342278710.9+3200724</f>
        <v>345479434.89999998</v>
      </c>
      <c r="H8" s="12">
        <f>+F8-G8</f>
        <v>3581840686.3499999</v>
      </c>
      <c r="I8" s="13"/>
      <c r="J8" s="12"/>
      <c r="K8" s="12"/>
      <c r="L8" s="12">
        <f>+J8-K8</f>
        <v>0</v>
      </c>
      <c r="M8" s="12"/>
      <c r="N8" s="12">
        <v>1215450</v>
      </c>
      <c r="O8" s="12">
        <v>469399.18</v>
      </c>
      <c r="P8" s="12">
        <f>+N8-O8</f>
        <v>746050.82000000007</v>
      </c>
      <c r="Q8" s="16"/>
      <c r="R8" s="12">
        <f>+F8+J8+N8</f>
        <v>3928535571.25</v>
      </c>
      <c r="S8" s="12">
        <f>+G8+K8+O8</f>
        <v>345948834.07999998</v>
      </c>
      <c r="T8" s="14">
        <f>+R8-S8</f>
        <v>3582586737.1700001</v>
      </c>
      <c r="U8" s="17">
        <f>+S8/R8</f>
        <v>8.8060506976630065E-2</v>
      </c>
    </row>
    <row r="9" spans="2:21" ht="24.95" customHeight="1">
      <c r="B9" s="18"/>
      <c r="C9" s="10"/>
      <c r="D9" s="10"/>
      <c r="E9" s="19"/>
      <c r="F9" s="12"/>
      <c r="G9" s="12"/>
      <c r="H9" s="12">
        <f>+F9-G9</f>
        <v>0</v>
      </c>
      <c r="I9" s="13"/>
      <c r="J9" s="12"/>
      <c r="K9" s="12"/>
      <c r="L9" s="12">
        <f>+J9-K9</f>
        <v>0</v>
      </c>
      <c r="M9" s="12"/>
      <c r="N9" s="12"/>
      <c r="O9" s="12"/>
      <c r="P9" s="12">
        <f>+N9-O9</f>
        <v>0</v>
      </c>
      <c r="Q9" s="13"/>
      <c r="R9" s="12"/>
      <c r="S9" s="12"/>
      <c r="T9" s="14"/>
      <c r="U9" s="17"/>
    </row>
    <row r="10" spans="2:21" ht="24.95" customHeight="1">
      <c r="B10" s="9" t="s">
        <v>15</v>
      </c>
      <c r="C10" s="10"/>
      <c r="D10" s="10"/>
      <c r="E10" s="11"/>
      <c r="F10" s="12"/>
      <c r="G10" s="12"/>
      <c r="H10" s="12"/>
      <c r="I10" s="13"/>
      <c r="J10" s="12"/>
      <c r="K10" s="12"/>
      <c r="L10" s="12"/>
      <c r="M10" s="12"/>
      <c r="N10" s="12"/>
      <c r="O10" s="12"/>
      <c r="P10" s="12"/>
      <c r="Q10" s="13"/>
      <c r="R10" s="12"/>
      <c r="S10" s="12"/>
      <c r="T10" s="14"/>
      <c r="U10" s="17"/>
    </row>
    <row r="11" spans="2:21" ht="30" customHeight="1">
      <c r="B11" s="9"/>
      <c r="C11" s="129" t="s">
        <v>16</v>
      </c>
      <c r="D11" s="129"/>
      <c r="E11" s="130"/>
      <c r="F11" s="12">
        <f>SUM(F13:F46)</f>
        <v>1148504026.0685716</v>
      </c>
      <c r="G11" s="12">
        <f t="shared" ref="G11:T11" si="0">SUM(G13:G46)</f>
        <v>684308986.04999995</v>
      </c>
      <c r="H11" s="12">
        <f t="shared" si="0"/>
        <v>464195040.01857156</v>
      </c>
      <c r="I11" s="12">
        <f t="shared" si="0"/>
        <v>2208000</v>
      </c>
      <c r="J11" s="12">
        <f>SUM(J13:J46)</f>
        <v>32955527.75</v>
      </c>
      <c r="K11" s="12">
        <f t="shared" ref="K11" si="1">SUM(K13:K46)</f>
        <v>26179629.140000001</v>
      </c>
      <c r="L11" s="12">
        <f>SUM(L13:L46)</f>
        <v>6775898.6100000003</v>
      </c>
      <c r="M11" s="12">
        <f t="shared" si="0"/>
        <v>0</v>
      </c>
      <c r="N11" s="12">
        <f>SUM(N13:N46)</f>
        <v>13532345.039999999</v>
      </c>
      <c r="O11" s="12">
        <f t="shared" ref="O11" si="2">SUM(O13:O46)</f>
        <v>11922504.970000001</v>
      </c>
      <c r="P11" s="12">
        <f>SUM(P13:P46)</f>
        <v>1609840.0699999996</v>
      </c>
      <c r="Q11" s="12">
        <f t="shared" si="0"/>
        <v>0</v>
      </c>
      <c r="R11" s="12">
        <f t="shared" si="0"/>
        <v>1194991898.8585715</v>
      </c>
      <c r="S11" s="12">
        <f t="shared" si="0"/>
        <v>722411120.15999997</v>
      </c>
      <c r="T11" s="14">
        <f t="shared" si="0"/>
        <v>472580778.6985715</v>
      </c>
      <c r="U11" s="17">
        <f>+S11/R11</f>
        <v>0.60453223226871267</v>
      </c>
    </row>
    <row r="12" spans="2:21" ht="24.95" customHeight="1">
      <c r="B12" s="18"/>
      <c r="C12" s="20" t="s">
        <v>17</v>
      </c>
      <c r="D12" s="20"/>
      <c r="E12" s="10"/>
      <c r="F12" s="12"/>
      <c r="G12" s="12"/>
      <c r="H12" s="12">
        <f t="shared" ref="H12:H17" si="3">+F12-G12</f>
        <v>0</v>
      </c>
      <c r="I12" s="13"/>
      <c r="J12" s="12"/>
      <c r="K12" s="12"/>
      <c r="L12" s="12">
        <f t="shared" ref="L12:L17" si="4">+J12-K12</f>
        <v>0</v>
      </c>
      <c r="M12" s="12"/>
      <c r="N12" s="12"/>
      <c r="O12" s="12"/>
      <c r="P12" s="12">
        <f t="shared" ref="P12:P17" si="5">+N12-O12</f>
        <v>0</v>
      </c>
      <c r="Q12" s="13"/>
      <c r="R12" s="12"/>
      <c r="S12" s="12"/>
      <c r="T12" s="14"/>
      <c r="U12" s="17"/>
    </row>
    <row r="13" spans="2:21" ht="24.95" customHeight="1">
      <c r="B13" s="18"/>
      <c r="C13" s="20"/>
      <c r="D13" s="20"/>
      <c r="E13" s="10" t="s">
        <v>18</v>
      </c>
      <c r="F13" s="12">
        <v>21847508</v>
      </c>
      <c r="G13" s="12">
        <v>21846717.649999999</v>
      </c>
      <c r="H13" s="12">
        <f t="shared" si="3"/>
        <v>790.35000000149012</v>
      </c>
      <c r="I13" s="13"/>
      <c r="J13" s="12">
        <v>20000000</v>
      </c>
      <c r="K13" s="12">
        <v>20000000</v>
      </c>
      <c r="L13" s="12">
        <f t="shared" si="4"/>
        <v>0</v>
      </c>
      <c r="M13" s="12"/>
      <c r="N13" s="12"/>
      <c r="O13" s="12"/>
      <c r="P13" s="12">
        <f t="shared" si="5"/>
        <v>0</v>
      </c>
      <c r="Q13" s="13"/>
      <c r="R13" s="12">
        <f t="shared" ref="R13:S17" si="6">+F13+J13+N13</f>
        <v>41847508</v>
      </c>
      <c r="S13" s="12">
        <f t="shared" si="6"/>
        <v>41846717.649999999</v>
      </c>
      <c r="T13" s="14">
        <f>+R13-S13</f>
        <v>790.35000000149012</v>
      </c>
      <c r="U13" s="17">
        <f t="shared" ref="U13:U72" si="7">+S13/R13</f>
        <v>0.99998111357072916</v>
      </c>
    </row>
    <row r="14" spans="2:21" ht="24.95" customHeight="1">
      <c r="B14" s="18"/>
      <c r="C14" s="10"/>
      <c r="D14" s="10"/>
      <c r="E14" s="21" t="s">
        <v>19</v>
      </c>
      <c r="F14" s="12">
        <v>15847218</v>
      </c>
      <c r="G14" s="12">
        <v>8107050.3200000003</v>
      </c>
      <c r="H14" s="12">
        <f t="shared" si="3"/>
        <v>7740167.6799999997</v>
      </c>
      <c r="I14" s="13"/>
      <c r="J14" s="12">
        <v>3825581</v>
      </c>
      <c r="K14" s="12"/>
      <c r="L14" s="12">
        <f t="shared" si="4"/>
        <v>3825581</v>
      </c>
      <c r="M14" s="12"/>
      <c r="N14" s="12"/>
      <c r="O14" s="12"/>
      <c r="P14" s="12">
        <f t="shared" si="5"/>
        <v>0</v>
      </c>
      <c r="Q14" s="13"/>
      <c r="R14" s="12">
        <f t="shared" si="6"/>
        <v>19672799</v>
      </c>
      <c r="S14" s="12">
        <f t="shared" si="6"/>
        <v>8107050.3200000003</v>
      </c>
      <c r="T14" s="14">
        <f>+R14-S14</f>
        <v>11565748.68</v>
      </c>
      <c r="U14" s="17">
        <f t="shared" si="7"/>
        <v>0.41209440100516453</v>
      </c>
    </row>
    <row r="15" spans="2:21" ht="27" customHeight="1">
      <c r="B15" s="18"/>
      <c r="C15" s="10"/>
      <c r="D15" s="10"/>
      <c r="E15" s="21" t="s">
        <v>20</v>
      </c>
      <c r="F15" s="12">
        <v>28364438</v>
      </c>
      <c r="G15" s="12">
        <v>8003401.2699999996</v>
      </c>
      <c r="H15" s="12">
        <f t="shared" si="3"/>
        <v>20361036.73</v>
      </c>
      <c r="I15" s="13"/>
      <c r="J15" s="12"/>
      <c r="K15" s="12"/>
      <c r="L15" s="12">
        <f t="shared" si="4"/>
        <v>0</v>
      </c>
      <c r="M15" s="12"/>
      <c r="N15" s="12"/>
      <c r="O15" s="12"/>
      <c r="P15" s="12">
        <f t="shared" si="5"/>
        <v>0</v>
      </c>
      <c r="Q15" s="13"/>
      <c r="R15" s="12">
        <f t="shared" si="6"/>
        <v>28364438</v>
      </c>
      <c r="S15" s="12">
        <f t="shared" si="6"/>
        <v>8003401.2699999996</v>
      </c>
      <c r="T15" s="14">
        <f>+R15-S15</f>
        <v>20361036.73</v>
      </c>
      <c r="U15" s="17">
        <f t="shared" si="7"/>
        <v>0.28216322389324267</v>
      </c>
    </row>
    <row r="16" spans="2:21" ht="27" customHeight="1">
      <c r="B16" s="18"/>
      <c r="C16" s="10"/>
      <c r="D16" s="10"/>
      <c r="E16" s="22" t="s">
        <v>21</v>
      </c>
      <c r="F16" s="12">
        <v>2239000</v>
      </c>
      <c r="G16" s="12">
        <v>1931523.32</v>
      </c>
      <c r="H16" s="12">
        <f t="shared" si="3"/>
        <v>307476.67999999993</v>
      </c>
      <c r="I16" s="13"/>
      <c r="J16" s="12"/>
      <c r="K16" s="12"/>
      <c r="L16" s="12">
        <f t="shared" si="4"/>
        <v>0</v>
      </c>
      <c r="M16" s="12"/>
      <c r="N16" s="12"/>
      <c r="O16" s="12"/>
      <c r="P16" s="12">
        <f t="shared" si="5"/>
        <v>0</v>
      </c>
      <c r="Q16" s="13"/>
      <c r="R16" s="12">
        <f t="shared" si="6"/>
        <v>2239000</v>
      </c>
      <c r="S16" s="12">
        <f t="shared" si="6"/>
        <v>1931523.32</v>
      </c>
      <c r="T16" s="14">
        <f>+R16-S16</f>
        <v>307476.67999999993</v>
      </c>
      <c r="U16" s="17">
        <f t="shared" si="7"/>
        <v>0.86267231799910682</v>
      </c>
    </row>
    <row r="17" spans="2:21" ht="27" customHeight="1">
      <c r="B17" s="18"/>
      <c r="C17" s="10"/>
      <c r="D17" s="10"/>
      <c r="E17" s="21" t="s">
        <v>22</v>
      </c>
      <c r="F17" s="12">
        <v>14317808</v>
      </c>
      <c r="G17" s="12">
        <v>10221100.1</v>
      </c>
      <c r="H17" s="12">
        <f t="shared" si="3"/>
        <v>4096707.9000000004</v>
      </c>
      <c r="I17" s="13"/>
      <c r="J17" s="12"/>
      <c r="K17" s="12"/>
      <c r="L17" s="12">
        <f t="shared" si="4"/>
        <v>0</v>
      </c>
      <c r="M17" s="12"/>
      <c r="N17" s="12"/>
      <c r="O17" s="12"/>
      <c r="P17" s="12">
        <f t="shared" si="5"/>
        <v>0</v>
      </c>
      <c r="Q17" s="13"/>
      <c r="R17" s="12">
        <f t="shared" si="6"/>
        <v>14317808</v>
      </c>
      <c r="S17" s="12">
        <f t="shared" si="6"/>
        <v>10221100.1</v>
      </c>
      <c r="T17" s="14">
        <f>+R17-S17</f>
        <v>4096707.9000000004</v>
      </c>
      <c r="U17" s="17">
        <f t="shared" si="7"/>
        <v>0.71387324791616147</v>
      </c>
    </row>
    <row r="18" spans="2:21" ht="24.95" customHeight="1">
      <c r="B18" s="18"/>
      <c r="C18" s="10"/>
      <c r="D18" s="10"/>
      <c r="E18" s="21"/>
      <c r="F18" s="12"/>
      <c r="G18" s="12"/>
      <c r="H18" s="12"/>
      <c r="I18" s="13"/>
      <c r="J18" s="12"/>
      <c r="K18" s="12"/>
      <c r="L18" s="12"/>
      <c r="M18" s="12"/>
      <c r="N18" s="12"/>
      <c r="O18" s="12"/>
      <c r="P18" s="12"/>
      <c r="Q18" s="13"/>
      <c r="R18" s="12"/>
      <c r="S18" s="12"/>
      <c r="T18" s="14"/>
      <c r="U18" s="17"/>
    </row>
    <row r="19" spans="2:21" ht="24.95" customHeight="1">
      <c r="B19" s="18"/>
      <c r="C19" s="20" t="s">
        <v>23</v>
      </c>
      <c r="D19" s="20"/>
      <c r="E19" s="10"/>
      <c r="F19" s="12"/>
      <c r="G19" s="12"/>
      <c r="H19" s="12"/>
      <c r="I19" s="13"/>
      <c r="J19" s="12"/>
      <c r="K19" s="12"/>
      <c r="L19" s="12"/>
      <c r="M19" s="12"/>
      <c r="N19" s="12"/>
      <c r="O19" s="12"/>
      <c r="P19" s="12"/>
      <c r="Q19" s="13"/>
      <c r="R19" s="12"/>
      <c r="S19" s="12"/>
      <c r="T19" s="14"/>
      <c r="U19" s="17"/>
    </row>
    <row r="20" spans="2:21" ht="24.95" customHeight="1">
      <c r="B20" s="18"/>
      <c r="C20" s="20"/>
      <c r="D20" s="20"/>
      <c r="E20" s="10" t="s">
        <v>24</v>
      </c>
      <c r="F20" s="12">
        <v>63507000</v>
      </c>
      <c r="G20" s="12">
        <v>62407937.32</v>
      </c>
      <c r="H20" s="12">
        <f>+F20-G20</f>
        <v>1099062.6799999997</v>
      </c>
      <c r="I20" s="13"/>
      <c r="J20" s="12"/>
      <c r="K20" s="12"/>
      <c r="L20" s="12">
        <f>+J20-K20</f>
        <v>0</v>
      </c>
      <c r="M20" s="12"/>
      <c r="N20" s="12"/>
      <c r="O20" s="12"/>
      <c r="P20" s="12">
        <f>+N20-O20</f>
        <v>0</v>
      </c>
      <c r="Q20" s="13"/>
      <c r="R20" s="12">
        <f>+F20+J20+N20</f>
        <v>63507000</v>
      </c>
      <c r="S20" s="12">
        <f>+G20+K20+O20</f>
        <v>62407937.32</v>
      </c>
      <c r="T20" s="14">
        <f>+R20-S20</f>
        <v>1099062.6799999997</v>
      </c>
      <c r="U20" s="17">
        <f t="shared" si="7"/>
        <v>0.98269383406553612</v>
      </c>
    </row>
    <row r="21" spans="2:21" ht="28.5" customHeight="1">
      <c r="B21" s="18"/>
      <c r="C21" s="10"/>
      <c r="D21" s="10"/>
      <c r="E21" s="22" t="s">
        <v>142</v>
      </c>
      <c r="F21" s="12">
        <v>30581800</v>
      </c>
      <c r="G21" s="12">
        <v>21672962.73</v>
      </c>
      <c r="H21" s="12">
        <f>+F21-G21</f>
        <v>8908837.2699999996</v>
      </c>
      <c r="I21" s="13"/>
      <c r="J21" s="12"/>
      <c r="K21" s="12"/>
      <c r="L21" s="12">
        <f>+J21-K21</f>
        <v>0</v>
      </c>
      <c r="M21" s="12"/>
      <c r="N21" s="12"/>
      <c r="O21" s="12"/>
      <c r="P21" s="12">
        <f>+N21-O21</f>
        <v>0</v>
      </c>
      <c r="Q21" s="13"/>
      <c r="R21" s="12">
        <f>+F21+J21+N21</f>
        <v>30581800</v>
      </c>
      <c r="S21" s="12">
        <f>+G21+K21+O21</f>
        <v>21672962.73</v>
      </c>
      <c r="T21" s="14">
        <f>+R21-S21</f>
        <v>8908837.2699999996</v>
      </c>
      <c r="U21" s="17">
        <f t="shared" si="7"/>
        <v>0.70868826328077483</v>
      </c>
    </row>
    <row r="22" spans="2:21" ht="24.95" customHeight="1">
      <c r="B22" s="18"/>
      <c r="C22" s="10"/>
      <c r="D22" s="10"/>
      <c r="E22" s="22"/>
      <c r="F22" s="12"/>
      <c r="G22" s="12"/>
      <c r="H22" s="12"/>
      <c r="I22" s="13"/>
      <c r="J22" s="12"/>
      <c r="K22" s="12"/>
      <c r="L22" s="12"/>
      <c r="M22" s="12"/>
      <c r="N22" s="12"/>
      <c r="O22" s="12"/>
      <c r="P22" s="12"/>
      <c r="Q22" s="13"/>
      <c r="R22" s="12"/>
      <c r="S22" s="12"/>
      <c r="T22" s="14"/>
      <c r="U22" s="17"/>
    </row>
    <row r="23" spans="2:21" ht="24.95" customHeight="1">
      <c r="B23" s="18"/>
      <c r="C23" s="20" t="s">
        <v>26</v>
      </c>
      <c r="D23" s="20"/>
      <c r="E23" s="10"/>
      <c r="F23" s="12"/>
      <c r="G23" s="12"/>
      <c r="H23" s="12"/>
      <c r="I23" s="13"/>
      <c r="J23" s="12"/>
      <c r="K23" s="12"/>
      <c r="L23" s="12"/>
      <c r="M23" s="12"/>
      <c r="N23" s="12"/>
      <c r="O23" s="12"/>
      <c r="P23" s="12"/>
      <c r="Q23" s="13"/>
      <c r="R23" s="12"/>
      <c r="S23" s="12"/>
      <c r="T23" s="14"/>
      <c r="U23" s="17"/>
    </row>
    <row r="24" spans="2:21" ht="24.95" customHeight="1">
      <c r="B24" s="18"/>
      <c r="C24" s="20"/>
      <c r="D24" s="20"/>
      <c r="E24" s="10" t="s">
        <v>27</v>
      </c>
      <c r="F24" s="12">
        <v>74022999.998571485</v>
      </c>
      <c r="G24" s="12">
        <v>49746030.899999999</v>
      </c>
      <c r="H24" s="12">
        <f>+F24-G24</f>
        <v>24276969.098571487</v>
      </c>
      <c r="I24" s="13"/>
      <c r="J24" s="12"/>
      <c r="K24" s="12"/>
      <c r="L24" s="12">
        <f>+J24-K24</f>
        <v>0</v>
      </c>
      <c r="M24" s="12"/>
      <c r="N24" s="12"/>
      <c r="O24" s="12"/>
      <c r="P24" s="12">
        <f>+N24-O24</f>
        <v>0</v>
      </c>
      <c r="Q24" s="13"/>
      <c r="R24" s="12">
        <f t="shared" ref="R24:S26" si="8">+F24+J24+N24</f>
        <v>74022999.998571485</v>
      </c>
      <c r="S24" s="12">
        <f t="shared" si="8"/>
        <v>49746030.899999999</v>
      </c>
      <c r="T24" s="14">
        <f>+R24-S24</f>
        <v>24276969.098571487</v>
      </c>
      <c r="U24" s="17">
        <f t="shared" si="7"/>
        <v>0.67203478514731918</v>
      </c>
    </row>
    <row r="25" spans="2:21" ht="27.75" customHeight="1">
      <c r="B25" s="18"/>
      <c r="C25" s="10"/>
      <c r="D25" s="10"/>
      <c r="E25" s="22" t="s">
        <v>28</v>
      </c>
      <c r="F25" s="12">
        <v>7020245</v>
      </c>
      <c r="G25" s="12">
        <v>4179246.83</v>
      </c>
      <c r="H25" s="12">
        <f>+F25-G25</f>
        <v>2840998.17</v>
      </c>
      <c r="I25" s="13"/>
      <c r="J25" s="12"/>
      <c r="K25" s="12"/>
      <c r="L25" s="12">
        <f>+J25-K25</f>
        <v>0</v>
      </c>
      <c r="M25" s="12"/>
      <c r="N25" s="12"/>
      <c r="O25" s="12"/>
      <c r="P25" s="12">
        <f>+N25-O25</f>
        <v>0</v>
      </c>
      <c r="Q25" s="13"/>
      <c r="R25" s="12">
        <f t="shared" si="8"/>
        <v>7020245</v>
      </c>
      <c r="S25" s="12">
        <f t="shared" si="8"/>
        <v>4179246.83</v>
      </c>
      <c r="T25" s="14">
        <f>+R25-S25</f>
        <v>2840998.17</v>
      </c>
      <c r="U25" s="17">
        <f t="shared" si="7"/>
        <v>0.59531352965601625</v>
      </c>
    </row>
    <row r="26" spans="2:21" ht="27.75" customHeight="1">
      <c r="B26" s="18"/>
      <c r="C26" s="10"/>
      <c r="D26" s="10"/>
      <c r="E26" s="22" t="s">
        <v>29</v>
      </c>
      <c r="F26" s="12">
        <v>4236000</v>
      </c>
      <c r="G26" s="12">
        <v>1372884.77</v>
      </c>
      <c r="H26" s="12">
        <f>+F26-G26</f>
        <v>2863115.23</v>
      </c>
      <c r="I26" s="13"/>
      <c r="J26" s="12"/>
      <c r="K26" s="12"/>
      <c r="L26" s="12">
        <f>+J26-K26</f>
        <v>0</v>
      </c>
      <c r="M26" s="12"/>
      <c r="N26" s="12"/>
      <c r="O26" s="12"/>
      <c r="P26" s="12">
        <f>+N26-O26</f>
        <v>0</v>
      </c>
      <c r="Q26" s="13"/>
      <c r="R26" s="12">
        <f t="shared" si="8"/>
        <v>4236000</v>
      </c>
      <c r="S26" s="12">
        <f t="shared" si="8"/>
        <v>1372884.77</v>
      </c>
      <c r="T26" s="14">
        <f>+R26-S26</f>
        <v>2863115.23</v>
      </c>
      <c r="U26" s="17">
        <f t="shared" si="7"/>
        <v>0.32409933191690277</v>
      </c>
    </row>
    <row r="27" spans="2:21" ht="24.95" customHeight="1">
      <c r="B27" s="18"/>
      <c r="C27" s="10"/>
      <c r="D27" s="10"/>
      <c r="E27" s="22"/>
      <c r="F27" s="12"/>
      <c r="G27" s="12"/>
      <c r="H27" s="12"/>
      <c r="I27" s="13"/>
      <c r="J27" s="12"/>
      <c r="K27" s="12"/>
      <c r="L27" s="12"/>
      <c r="M27" s="12"/>
      <c r="N27" s="12"/>
      <c r="O27" s="12"/>
      <c r="P27" s="12"/>
      <c r="Q27" s="13"/>
      <c r="R27" s="12"/>
      <c r="S27" s="12"/>
      <c r="T27" s="14"/>
      <c r="U27" s="17"/>
    </row>
    <row r="28" spans="2:21" ht="24.95" customHeight="1">
      <c r="B28" s="18"/>
      <c r="C28" s="20" t="s">
        <v>30</v>
      </c>
      <c r="D28" s="20"/>
      <c r="E28" s="10"/>
      <c r="F28" s="12"/>
      <c r="G28" s="12"/>
      <c r="H28" s="12"/>
      <c r="I28" s="13"/>
      <c r="J28" s="12"/>
      <c r="K28" s="12"/>
      <c r="L28" s="12"/>
      <c r="M28" s="12"/>
      <c r="N28" s="12"/>
      <c r="O28" s="12"/>
      <c r="P28" s="12"/>
      <c r="Q28" s="13"/>
      <c r="R28" s="12"/>
      <c r="S28" s="12"/>
      <c r="T28" s="14"/>
      <c r="U28" s="17"/>
    </row>
    <row r="29" spans="2:21" ht="24.95" customHeight="1">
      <c r="B29" s="18"/>
      <c r="C29" s="20"/>
      <c r="D29" s="20"/>
      <c r="E29" s="10" t="s">
        <v>31</v>
      </c>
      <c r="F29" s="23">
        <v>58930194.960000001</v>
      </c>
      <c r="G29" s="23">
        <v>43257803</v>
      </c>
      <c r="H29" s="12">
        <f>+F29-G29</f>
        <v>15672391.960000001</v>
      </c>
      <c r="I29" s="13"/>
      <c r="J29" s="23"/>
      <c r="K29" s="23"/>
      <c r="L29" s="12">
        <f>+J29-K29</f>
        <v>0</v>
      </c>
      <c r="M29" s="12"/>
      <c r="N29" s="23">
        <v>4022805.04</v>
      </c>
      <c r="O29" s="23">
        <v>4022805.04</v>
      </c>
      <c r="P29" s="12">
        <f>+N29-O29</f>
        <v>0</v>
      </c>
      <c r="Q29" s="13"/>
      <c r="R29" s="12">
        <f t="shared" ref="R29:S32" si="9">+F29+J29+N29</f>
        <v>62953000</v>
      </c>
      <c r="S29" s="12">
        <f t="shared" si="9"/>
        <v>47280608.039999999</v>
      </c>
      <c r="T29" s="14">
        <f>+R29-S29</f>
        <v>15672391.960000001</v>
      </c>
      <c r="U29" s="17">
        <f t="shared" si="7"/>
        <v>0.7510461461725414</v>
      </c>
    </row>
    <row r="30" spans="2:21" ht="28.5" customHeight="1">
      <c r="B30" s="18"/>
      <c r="C30" s="10"/>
      <c r="D30" s="10"/>
      <c r="E30" s="22" t="s">
        <v>32</v>
      </c>
      <c r="F30" s="12">
        <v>75277327</v>
      </c>
      <c r="G30" s="12">
        <v>19613153.279999997</v>
      </c>
      <c r="H30" s="12">
        <f>+F30-G30</f>
        <v>55664173.719999999</v>
      </c>
      <c r="I30" s="13"/>
      <c r="J30" s="12"/>
      <c r="K30" s="12"/>
      <c r="L30" s="12">
        <f>+J30-K30</f>
        <v>0</v>
      </c>
      <c r="M30" s="12"/>
      <c r="N30" s="12"/>
      <c r="O30" s="12"/>
      <c r="P30" s="12">
        <f>+N30-O30</f>
        <v>0</v>
      </c>
      <c r="Q30" s="13"/>
      <c r="R30" s="12">
        <f t="shared" si="9"/>
        <v>75277327</v>
      </c>
      <c r="S30" s="12">
        <f t="shared" si="9"/>
        <v>19613153.279999997</v>
      </c>
      <c r="T30" s="14">
        <f>+R30-S30</f>
        <v>55664173.719999999</v>
      </c>
      <c r="U30" s="17">
        <f t="shared" si="7"/>
        <v>0.26054529380406927</v>
      </c>
    </row>
    <row r="31" spans="2:21" ht="28.5" customHeight="1">
      <c r="B31" s="18"/>
      <c r="C31" s="10"/>
      <c r="D31" s="10"/>
      <c r="E31" s="22" t="s">
        <v>33</v>
      </c>
      <c r="F31" s="12">
        <v>21824000</v>
      </c>
      <c r="G31" s="12">
        <v>15231212.199999999</v>
      </c>
      <c r="H31" s="12">
        <f>+F31-G31</f>
        <v>6592787.8000000007</v>
      </c>
      <c r="I31" s="13"/>
      <c r="J31" s="12"/>
      <c r="K31" s="12"/>
      <c r="L31" s="12">
        <f>+J31-K31</f>
        <v>0</v>
      </c>
      <c r="M31" s="12"/>
      <c r="N31" s="12">
        <v>306950</v>
      </c>
      <c r="O31" s="12">
        <v>280039.82</v>
      </c>
      <c r="P31" s="12">
        <f>+N31-O31</f>
        <v>26910.179999999993</v>
      </c>
      <c r="Q31" s="13"/>
      <c r="R31" s="12">
        <f t="shared" si="9"/>
        <v>22130950</v>
      </c>
      <c r="S31" s="12">
        <f t="shared" si="9"/>
        <v>15511252.02</v>
      </c>
      <c r="T31" s="14">
        <f>+R31-S31</f>
        <v>6619697.9800000004</v>
      </c>
      <c r="U31" s="17">
        <f t="shared" si="7"/>
        <v>0.70088505102582577</v>
      </c>
    </row>
    <row r="32" spans="2:21" ht="28.5" customHeight="1">
      <c r="B32" s="18"/>
      <c r="C32" s="10"/>
      <c r="D32" s="10"/>
      <c r="E32" s="22" t="s">
        <v>34</v>
      </c>
      <c r="F32" s="12">
        <v>4807234</v>
      </c>
      <c r="G32" s="12">
        <v>3582414.78</v>
      </c>
      <c r="H32" s="12">
        <f>+F32-G32</f>
        <v>1224819.2200000002</v>
      </c>
      <c r="I32" s="13"/>
      <c r="J32" s="12"/>
      <c r="K32" s="12"/>
      <c r="L32" s="12">
        <f>+J32-K32</f>
        <v>0</v>
      </c>
      <c r="M32" s="12"/>
      <c r="N32" s="12"/>
      <c r="O32" s="12"/>
      <c r="P32" s="12">
        <f>+N32-O32</f>
        <v>0</v>
      </c>
      <c r="Q32" s="13"/>
      <c r="R32" s="12">
        <f t="shared" si="9"/>
        <v>4807234</v>
      </c>
      <c r="S32" s="12">
        <f t="shared" si="9"/>
        <v>3582414.78</v>
      </c>
      <c r="T32" s="14">
        <f>+R32-S32</f>
        <v>1224819.2200000002</v>
      </c>
      <c r="U32" s="17">
        <f t="shared" si="7"/>
        <v>0.74521331393479073</v>
      </c>
    </row>
    <row r="33" spans="2:23" ht="27.75" customHeight="1">
      <c r="B33" s="18"/>
      <c r="C33" s="10"/>
      <c r="D33" s="10"/>
      <c r="E33" s="22"/>
      <c r="F33" s="12"/>
      <c r="G33" s="12"/>
      <c r="H33" s="12"/>
      <c r="I33" s="13"/>
      <c r="J33" s="12"/>
      <c r="K33" s="12"/>
      <c r="L33" s="12"/>
      <c r="M33" s="12"/>
      <c r="N33" s="12"/>
      <c r="O33" s="12"/>
      <c r="P33" s="12"/>
      <c r="Q33" s="13"/>
      <c r="R33" s="12"/>
      <c r="S33" s="12"/>
      <c r="T33" s="14"/>
      <c r="U33" s="17"/>
    </row>
    <row r="34" spans="2:23" ht="24.95" customHeight="1">
      <c r="B34" s="18"/>
      <c r="C34" s="24" t="s">
        <v>35</v>
      </c>
      <c r="D34" s="10"/>
      <c r="E34" s="22"/>
      <c r="F34" s="12"/>
      <c r="G34" s="12"/>
      <c r="H34" s="12"/>
      <c r="I34" s="13"/>
      <c r="J34" s="12"/>
      <c r="K34" s="12"/>
      <c r="L34" s="12"/>
      <c r="M34" s="12"/>
      <c r="N34" s="12"/>
      <c r="O34" s="12"/>
      <c r="P34" s="12"/>
      <c r="Q34" s="13"/>
      <c r="R34" s="12"/>
      <c r="S34" s="12"/>
      <c r="T34" s="14"/>
      <c r="U34" s="17"/>
    </row>
    <row r="35" spans="2:23" ht="24.95" customHeight="1">
      <c r="B35" s="18"/>
      <c r="C35" s="10"/>
      <c r="D35" s="25" t="s">
        <v>36</v>
      </c>
      <c r="E35" s="26"/>
      <c r="F35" s="12">
        <v>22877400</v>
      </c>
      <c r="G35" s="12">
        <v>18082603.489999998</v>
      </c>
      <c r="H35" s="12">
        <f>+F35-G35</f>
        <v>4794796.5100000016</v>
      </c>
      <c r="I35" s="13"/>
      <c r="J35" s="12"/>
      <c r="K35" s="12"/>
      <c r="L35" s="12">
        <f>+J35-K35</f>
        <v>0</v>
      </c>
      <c r="M35" s="12"/>
      <c r="N35" s="12">
        <v>1297585</v>
      </c>
      <c r="O35" s="12"/>
      <c r="P35" s="12">
        <f>+N35-O35</f>
        <v>1297585</v>
      </c>
      <c r="Q35" s="13"/>
      <c r="R35" s="12">
        <f t="shared" ref="R35:S46" si="10">+F35+J35+N35</f>
        <v>24174985</v>
      </c>
      <c r="S35" s="12">
        <f t="shared" si="10"/>
        <v>18082603.489999998</v>
      </c>
      <c r="T35" s="14">
        <f>+R35-S35</f>
        <v>6092381.5100000016</v>
      </c>
      <c r="U35" s="17">
        <f t="shared" si="7"/>
        <v>0.74798819895855151</v>
      </c>
    </row>
    <row r="36" spans="2:23" ht="24.95" customHeight="1">
      <c r="B36" s="18"/>
      <c r="C36" s="10"/>
      <c r="D36" s="27" t="s">
        <v>37</v>
      </c>
      <c r="E36" s="22"/>
      <c r="F36" s="12">
        <v>97491000</v>
      </c>
      <c r="G36" s="12">
        <v>48365932.509999998</v>
      </c>
      <c r="H36" s="12">
        <f>+F36-G36</f>
        <v>49125067.490000002</v>
      </c>
      <c r="I36" s="13"/>
      <c r="J36" s="12">
        <v>9129946.75</v>
      </c>
      <c r="K36" s="12">
        <v>5714629.1399999997</v>
      </c>
      <c r="L36" s="12">
        <f>+J36-K36</f>
        <v>3415317.6100000003</v>
      </c>
      <c r="M36" s="12"/>
      <c r="N36" s="12">
        <v>1302079</v>
      </c>
      <c r="O36" s="12">
        <v>819887.78</v>
      </c>
      <c r="P36" s="12">
        <f>+N36-O36</f>
        <v>482191.22</v>
      </c>
      <c r="Q36" s="13"/>
      <c r="R36" s="12">
        <f t="shared" si="10"/>
        <v>107923025.75</v>
      </c>
      <c r="S36" s="12">
        <f t="shared" si="10"/>
        <v>54900449.43</v>
      </c>
      <c r="T36" s="14">
        <f>+R36-S36</f>
        <v>53022576.32</v>
      </c>
      <c r="U36" s="17">
        <f t="shared" si="7"/>
        <v>0.50870005773536242</v>
      </c>
    </row>
    <row r="37" spans="2:23" ht="24.95" customHeight="1">
      <c r="B37" s="18"/>
      <c r="C37" s="10"/>
      <c r="D37" s="28" t="s">
        <v>38</v>
      </c>
      <c r="E37" s="22"/>
      <c r="F37" s="12">
        <v>185407504</v>
      </c>
      <c r="G37" s="12">
        <v>38222153.379999995</v>
      </c>
      <c r="H37" s="12">
        <f>+F37-G37</f>
        <v>147185350.62</v>
      </c>
      <c r="I37" s="13"/>
      <c r="J37" s="12"/>
      <c r="K37" s="12"/>
      <c r="L37" s="12">
        <f>+J37-K37</f>
        <v>0</v>
      </c>
      <c r="M37" s="12"/>
      <c r="N37" s="12">
        <v>1908211</v>
      </c>
      <c r="O37" s="12">
        <v>1480819.37</v>
      </c>
      <c r="P37" s="12">
        <f>+N37-O37</f>
        <v>427391.62999999989</v>
      </c>
      <c r="Q37" s="13"/>
      <c r="R37" s="12">
        <f t="shared" si="10"/>
        <v>187315715</v>
      </c>
      <c r="S37" s="12">
        <f t="shared" si="10"/>
        <v>39702972.749999993</v>
      </c>
      <c r="T37" s="14">
        <f>+R37-S37</f>
        <v>147612742.25</v>
      </c>
      <c r="U37" s="17">
        <f t="shared" si="7"/>
        <v>0.21195751114635519</v>
      </c>
    </row>
    <row r="38" spans="2:23" ht="24.95" customHeight="1">
      <c r="B38" s="18"/>
      <c r="C38" s="10"/>
      <c r="D38" s="28" t="s">
        <v>39</v>
      </c>
      <c r="E38" s="22"/>
      <c r="F38" s="12">
        <v>60597049.109999999</v>
      </c>
      <c r="G38" s="12">
        <v>49214835.369999997</v>
      </c>
      <c r="H38" s="12">
        <f>+F38-G38</f>
        <v>11382213.740000002</v>
      </c>
      <c r="I38" s="13"/>
      <c r="J38" s="12"/>
      <c r="K38" s="12"/>
      <c r="L38" s="12">
        <f>+J38-K38</f>
        <v>0</v>
      </c>
      <c r="M38" s="12"/>
      <c r="N38" s="12">
        <v>1313945</v>
      </c>
      <c r="O38" s="12">
        <v>1156761.8500000001</v>
      </c>
      <c r="P38" s="12">
        <f>+N38-O38</f>
        <v>157183.14999999991</v>
      </c>
      <c r="Q38" s="13"/>
      <c r="R38" s="12">
        <f t="shared" si="10"/>
        <v>61910994.109999999</v>
      </c>
      <c r="S38" s="12">
        <f t="shared" si="10"/>
        <v>50371597.219999999</v>
      </c>
      <c r="T38" s="14">
        <f>+R38-S38</f>
        <v>11539396.890000001</v>
      </c>
      <c r="U38" s="17">
        <f t="shared" si="7"/>
        <v>0.81361312225907012</v>
      </c>
    </row>
    <row r="39" spans="2:23" ht="24.95" customHeight="1">
      <c r="B39" s="18"/>
      <c r="C39" s="10"/>
      <c r="D39" s="28" t="s">
        <v>40</v>
      </c>
      <c r="E39" s="22"/>
      <c r="F39" s="12">
        <v>75783087</v>
      </c>
      <c r="G39" s="12">
        <v>64681221.600000001</v>
      </c>
      <c r="H39" s="12">
        <f t="shared" ref="H39:H44" si="11">+F39-G39</f>
        <v>11101865.399999999</v>
      </c>
      <c r="I39" s="13"/>
      <c r="J39" s="12"/>
      <c r="K39" s="12">
        <v>465000</v>
      </c>
      <c r="L39" s="12">
        <f t="shared" ref="L39:L44" si="12">+J39-K39</f>
        <v>-465000</v>
      </c>
      <c r="M39" s="12"/>
      <c r="N39" s="12"/>
      <c r="O39" s="12"/>
      <c r="P39" s="12">
        <f t="shared" ref="P39:P44" si="13">+N39-O39</f>
        <v>0</v>
      </c>
      <c r="Q39" s="13"/>
      <c r="R39" s="12">
        <f t="shared" si="10"/>
        <v>75783087</v>
      </c>
      <c r="S39" s="12">
        <f t="shared" si="10"/>
        <v>65146221.600000001</v>
      </c>
      <c r="T39" s="14">
        <f t="shared" ref="T39:T46" si="14">+R39-S39</f>
        <v>10636865.399999999</v>
      </c>
      <c r="U39" s="17">
        <f t="shared" si="7"/>
        <v>0.85964064250906014</v>
      </c>
    </row>
    <row r="40" spans="2:23" ht="24.95" customHeight="1">
      <c r="B40" s="18"/>
      <c r="C40" s="10"/>
      <c r="D40" s="28" t="s">
        <v>41</v>
      </c>
      <c r="E40" s="22"/>
      <c r="F40" s="12">
        <v>42671000</v>
      </c>
      <c r="G40" s="12">
        <v>20326157.870000001</v>
      </c>
      <c r="H40" s="12">
        <f t="shared" si="11"/>
        <v>22344842.129999999</v>
      </c>
      <c r="I40" s="13"/>
      <c r="J40" s="12"/>
      <c r="K40" s="12"/>
      <c r="L40" s="12">
        <f t="shared" si="12"/>
        <v>0</v>
      </c>
      <c r="M40" s="12"/>
      <c r="N40" s="12"/>
      <c r="O40" s="12"/>
      <c r="P40" s="12">
        <f t="shared" si="13"/>
        <v>0</v>
      </c>
      <c r="Q40" s="13"/>
      <c r="R40" s="12">
        <f t="shared" si="10"/>
        <v>42671000</v>
      </c>
      <c r="S40" s="12">
        <f t="shared" si="10"/>
        <v>20326157.870000001</v>
      </c>
      <c r="T40" s="14">
        <f t="shared" si="14"/>
        <v>22344842.129999999</v>
      </c>
      <c r="U40" s="17">
        <f t="shared" si="7"/>
        <v>0.47634594619296478</v>
      </c>
    </row>
    <row r="41" spans="2:23" ht="24.95" customHeight="1">
      <c r="B41" s="18"/>
      <c r="C41" s="10"/>
      <c r="D41" s="28" t="s">
        <v>42</v>
      </c>
      <c r="E41" s="22"/>
      <c r="F41" s="12">
        <v>42385000</v>
      </c>
      <c r="G41" s="12">
        <v>34679807.649999999</v>
      </c>
      <c r="H41" s="12">
        <f t="shared" si="11"/>
        <v>7705192.3500000015</v>
      </c>
      <c r="I41" s="13"/>
      <c r="J41" s="12"/>
      <c r="K41" s="12"/>
      <c r="L41" s="12">
        <f t="shared" si="12"/>
        <v>0</v>
      </c>
      <c r="M41" s="12"/>
      <c r="N41" s="12">
        <v>410458</v>
      </c>
      <c r="O41" s="12">
        <v>477831.88</v>
      </c>
      <c r="P41" s="12">
        <f t="shared" si="13"/>
        <v>-67373.88</v>
      </c>
      <c r="Q41" s="13"/>
      <c r="R41" s="12">
        <f t="shared" si="10"/>
        <v>42795458</v>
      </c>
      <c r="S41" s="12">
        <f t="shared" si="10"/>
        <v>35157639.530000001</v>
      </c>
      <c r="T41" s="14">
        <f t="shared" si="14"/>
        <v>7637818.4699999988</v>
      </c>
      <c r="U41" s="17">
        <f t="shared" si="7"/>
        <v>0.82152735764622498</v>
      </c>
    </row>
    <row r="42" spans="2:23" ht="24.95" customHeight="1">
      <c r="B42" s="18"/>
      <c r="C42" s="10"/>
      <c r="D42" s="25" t="s">
        <v>43</v>
      </c>
      <c r="E42" s="22"/>
      <c r="F42" s="12">
        <v>24929000</v>
      </c>
      <c r="G42" s="12">
        <v>24929000</v>
      </c>
      <c r="H42" s="12">
        <f t="shared" si="11"/>
        <v>0</v>
      </c>
      <c r="I42" s="13">
        <v>2208000</v>
      </c>
      <c r="J42" s="12"/>
      <c r="K42" s="12"/>
      <c r="L42" s="12">
        <f t="shared" si="12"/>
        <v>0</v>
      </c>
      <c r="M42" s="12"/>
      <c r="N42" s="12"/>
      <c r="O42" s="12">
        <v>94405.45</v>
      </c>
      <c r="P42" s="12">
        <f t="shared" si="13"/>
        <v>-94405.45</v>
      </c>
      <c r="Q42" s="13"/>
      <c r="R42" s="12">
        <f t="shared" si="10"/>
        <v>24929000</v>
      </c>
      <c r="S42" s="12">
        <f t="shared" si="10"/>
        <v>25023405.449999999</v>
      </c>
      <c r="T42" s="14">
        <f t="shared" si="14"/>
        <v>-94405.449999999255</v>
      </c>
      <c r="U42" s="17">
        <f t="shared" si="7"/>
        <v>1.0037869730033295</v>
      </c>
    </row>
    <row r="43" spans="2:23" ht="24.95" customHeight="1">
      <c r="B43" s="18"/>
      <c r="C43" s="10"/>
      <c r="D43" s="27" t="s">
        <v>44</v>
      </c>
      <c r="E43" s="22"/>
      <c r="F43" s="12">
        <v>53602000</v>
      </c>
      <c r="G43" s="12">
        <v>42342148.770000003</v>
      </c>
      <c r="H43" s="12">
        <f t="shared" si="11"/>
        <v>11259851.229999997</v>
      </c>
      <c r="I43" s="13"/>
      <c r="J43" s="12"/>
      <c r="K43" s="12"/>
      <c r="L43" s="12">
        <f t="shared" si="12"/>
        <v>0</v>
      </c>
      <c r="M43" s="12"/>
      <c r="N43" s="12"/>
      <c r="O43" s="12"/>
      <c r="P43" s="12">
        <f t="shared" si="13"/>
        <v>0</v>
      </c>
      <c r="Q43" s="13"/>
      <c r="R43" s="12">
        <f t="shared" si="10"/>
        <v>53602000</v>
      </c>
      <c r="S43" s="12">
        <f t="shared" si="10"/>
        <v>42342148.770000003</v>
      </c>
      <c r="T43" s="14">
        <f t="shared" si="14"/>
        <v>11259851.229999997</v>
      </c>
      <c r="U43" s="17">
        <f t="shared" si="7"/>
        <v>0.78993598690347377</v>
      </c>
    </row>
    <row r="44" spans="2:23" ht="24.95" customHeight="1">
      <c r="B44" s="18"/>
      <c r="C44" s="10"/>
      <c r="D44" s="28" t="s">
        <v>45</v>
      </c>
      <c r="E44" s="22"/>
      <c r="F44" s="12">
        <v>45885713</v>
      </c>
      <c r="G44" s="12">
        <f>23753031.75+63086.43</f>
        <v>23816118.18</v>
      </c>
      <c r="H44" s="12">
        <f t="shared" si="11"/>
        <v>22069594.82</v>
      </c>
      <c r="I44" s="13"/>
      <c r="J44" s="12"/>
      <c r="K44" s="12"/>
      <c r="L44" s="12">
        <f t="shared" si="12"/>
        <v>0</v>
      </c>
      <c r="M44" s="12"/>
      <c r="N44" s="12">
        <v>1346896</v>
      </c>
      <c r="O44" s="12">
        <v>2145563.17</v>
      </c>
      <c r="P44" s="12">
        <f t="shared" si="13"/>
        <v>-798667.16999999993</v>
      </c>
      <c r="Q44" s="13"/>
      <c r="R44" s="12">
        <f t="shared" si="10"/>
        <v>47232609</v>
      </c>
      <c r="S44" s="12">
        <f t="shared" si="10"/>
        <v>25961681.350000001</v>
      </c>
      <c r="T44" s="14">
        <f t="shared" si="14"/>
        <v>21270927.649999999</v>
      </c>
      <c r="U44" s="17">
        <f t="shared" si="7"/>
        <v>0.54965588180826519</v>
      </c>
    </row>
    <row r="45" spans="2:23" ht="24.95" customHeight="1">
      <c r="B45" s="18"/>
      <c r="C45" s="10"/>
      <c r="D45" s="29" t="s">
        <v>46</v>
      </c>
      <c r="E45" s="22"/>
      <c r="F45" s="12">
        <v>52977000</v>
      </c>
      <c r="G45" s="12">
        <v>35509923.890000001</v>
      </c>
      <c r="H45" s="12">
        <f>+F45-G45</f>
        <v>17467076.109999999</v>
      </c>
      <c r="I45" s="13"/>
      <c r="J45" s="12"/>
      <c r="K45" s="12"/>
      <c r="L45" s="12">
        <f>+J45-K45</f>
        <v>0</v>
      </c>
      <c r="M45" s="12"/>
      <c r="N45" s="12">
        <f>262899+448528+182202</f>
        <v>893629</v>
      </c>
      <c r="O45" s="12">
        <f>217954.85+314448.29+182201.2</f>
        <v>714604.34000000008</v>
      </c>
      <c r="P45" s="12">
        <f>+N45-O45</f>
        <v>179024.65999999992</v>
      </c>
      <c r="Q45" s="13"/>
      <c r="R45" s="12">
        <f>+F45+J45+N45</f>
        <v>53870629</v>
      </c>
      <c r="S45" s="12">
        <f t="shared" si="10"/>
        <v>36224528.230000004</v>
      </c>
      <c r="T45" s="14">
        <f t="shared" si="14"/>
        <v>17646100.769999996</v>
      </c>
      <c r="U45" s="17">
        <f t="shared" si="7"/>
        <v>0.67243559064439373</v>
      </c>
      <c r="W45" s="30"/>
    </row>
    <row r="46" spans="2:23" ht="24.95" customHeight="1">
      <c r="B46" s="18"/>
      <c r="C46" s="10"/>
      <c r="D46" s="25" t="s">
        <v>47</v>
      </c>
      <c r="E46" s="22"/>
      <c r="F46" s="12">
        <v>21075500</v>
      </c>
      <c r="G46" s="12">
        <v>12965644.869999999</v>
      </c>
      <c r="H46" s="12">
        <f>+F46-G46</f>
        <v>8109855.1300000008</v>
      </c>
      <c r="I46" s="13"/>
      <c r="J46" s="12"/>
      <c r="K46" s="12"/>
      <c r="L46" s="12">
        <f>+J46-K46</f>
        <v>0</v>
      </c>
      <c r="M46" s="12"/>
      <c r="N46" s="12">
        <v>729787</v>
      </c>
      <c r="O46" s="12">
        <v>729786.27</v>
      </c>
      <c r="P46" s="12">
        <f>+N46-O46</f>
        <v>0.72999999998137355</v>
      </c>
      <c r="Q46" s="13"/>
      <c r="R46" s="12">
        <f>+F46+J46+N46</f>
        <v>21805287</v>
      </c>
      <c r="S46" s="12">
        <f t="shared" si="10"/>
        <v>13695431.139999999</v>
      </c>
      <c r="T46" s="14">
        <f t="shared" si="14"/>
        <v>8109855.8600000013</v>
      </c>
      <c r="U46" s="17">
        <f t="shared" si="7"/>
        <v>0.62807846280583235</v>
      </c>
    </row>
    <row r="47" spans="2:23" ht="27.75" customHeight="1">
      <c r="B47" s="18"/>
      <c r="C47" s="10"/>
      <c r="D47" s="10"/>
      <c r="E47" s="22"/>
      <c r="F47" s="12"/>
      <c r="G47" s="12"/>
      <c r="H47" s="12"/>
      <c r="I47" s="13"/>
      <c r="J47" s="12"/>
      <c r="K47" s="12"/>
      <c r="L47" s="12"/>
      <c r="M47" s="12"/>
      <c r="N47" s="12"/>
      <c r="O47" s="12"/>
      <c r="P47" s="12"/>
      <c r="Q47" s="13"/>
      <c r="R47" s="12"/>
      <c r="S47" s="12"/>
      <c r="T47" s="14"/>
      <c r="U47" s="17"/>
    </row>
    <row r="48" spans="2:23" ht="24.95" customHeight="1">
      <c r="B48" s="18"/>
      <c r="C48" s="24" t="s">
        <v>48</v>
      </c>
      <c r="D48" s="10"/>
      <c r="E48" s="22"/>
      <c r="F48" s="12"/>
      <c r="G48" s="12"/>
      <c r="H48" s="12"/>
      <c r="I48" s="13"/>
      <c r="J48" s="12"/>
      <c r="K48" s="12"/>
      <c r="L48" s="12"/>
      <c r="M48" s="12"/>
      <c r="N48" s="12"/>
      <c r="O48" s="12"/>
      <c r="P48" s="12"/>
      <c r="Q48" s="13"/>
      <c r="R48" s="12"/>
      <c r="S48" s="12"/>
      <c r="T48" s="14"/>
      <c r="U48" s="17"/>
    </row>
    <row r="49" spans="2:21" ht="24.95" customHeight="1">
      <c r="B49" s="18"/>
      <c r="C49" s="10"/>
      <c r="D49" s="10"/>
      <c r="E49" s="10" t="s">
        <v>49</v>
      </c>
      <c r="F49" s="12">
        <v>13727000</v>
      </c>
      <c r="G49" s="12">
        <v>9143985.2200000007</v>
      </c>
      <c r="H49" s="12">
        <f>+F49-G49</f>
        <v>4583014.7799999993</v>
      </c>
      <c r="I49" s="13"/>
      <c r="J49" s="12"/>
      <c r="K49" s="12"/>
      <c r="L49" s="12">
        <f>+J49-K49</f>
        <v>0</v>
      </c>
      <c r="M49" s="12"/>
      <c r="N49" s="12"/>
      <c r="O49" s="12"/>
      <c r="P49" s="12">
        <f>+N49-O49</f>
        <v>0</v>
      </c>
      <c r="Q49" s="13"/>
      <c r="R49" s="12">
        <f>+F49+J49+N49</f>
        <v>13727000</v>
      </c>
      <c r="S49" s="12">
        <f>+G49+K49+O49</f>
        <v>9143985.2200000007</v>
      </c>
      <c r="T49" s="14">
        <f>+R49-S49</f>
        <v>4583014.7799999993</v>
      </c>
      <c r="U49" s="17">
        <f t="shared" si="7"/>
        <v>0.6661313630072121</v>
      </c>
    </row>
    <row r="50" spans="2:21" ht="24.95" customHeight="1">
      <c r="B50" s="18"/>
      <c r="C50" s="10"/>
      <c r="D50" s="10"/>
      <c r="E50" s="10" t="s">
        <v>50</v>
      </c>
      <c r="F50" s="12">
        <v>25073000</v>
      </c>
      <c r="G50" s="12">
        <v>24688448.09</v>
      </c>
      <c r="H50" s="12">
        <f>+F50-G50</f>
        <v>384551.91000000015</v>
      </c>
      <c r="I50" s="13"/>
      <c r="J50" s="12"/>
      <c r="K50" s="12"/>
      <c r="L50" s="12">
        <f>+J50-K50</f>
        <v>0</v>
      </c>
      <c r="M50" s="12"/>
      <c r="N50" s="12">
        <v>153292</v>
      </c>
      <c r="O50" s="12">
        <v>153291.62</v>
      </c>
      <c r="P50" s="12">
        <f>+N50-O50</f>
        <v>0.38000000000465661</v>
      </c>
      <c r="Q50" s="13"/>
      <c r="R50" s="12">
        <f>+F50+J50+N50</f>
        <v>25226292</v>
      </c>
      <c r="S50" s="12">
        <f>+G50+K50+O50</f>
        <v>24841739.710000001</v>
      </c>
      <c r="T50" s="14">
        <f>+R50-S50</f>
        <v>384552.28999999911</v>
      </c>
      <c r="U50" s="17">
        <f t="shared" si="7"/>
        <v>0.98475589317684897</v>
      </c>
    </row>
    <row r="51" spans="2:21" ht="27.75" customHeight="1">
      <c r="B51" s="18"/>
      <c r="C51" s="10"/>
      <c r="D51" s="10"/>
      <c r="E51" s="31" t="s">
        <v>51</v>
      </c>
      <c r="F51" s="32">
        <f t="shared" ref="F51:T51" si="15">SUM(F13:F48)</f>
        <v>1148504026.0685716</v>
      </c>
      <c r="G51" s="32">
        <f t="shared" si="15"/>
        <v>684308986.04999995</v>
      </c>
      <c r="H51" s="32">
        <f t="shared" si="15"/>
        <v>464195040.01857156</v>
      </c>
      <c r="I51" s="32">
        <f t="shared" si="15"/>
        <v>2208000</v>
      </c>
      <c r="J51" s="32">
        <f t="shared" si="15"/>
        <v>32955527.75</v>
      </c>
      <c r="K51" s="32">
        <f t="shared" si="15"/>
        <v>26179629.140000001</v>
      </c>
      <c r="L51" s="32">
        <f>SUM(L13:L48)</f>
        <v>6775898.6100000003</v>
      </c>
      <c r="M51" s="32">
        <f t="shared" si="15"/>
        <v>0</v>
      </c>
      <c r="N51" s="32">
        <f t="shared" si="15"/>
        <v>13532345.039999999</v>
      </c>
      <c r="O51" s="32">
        <f t="shared" si="15"/>
        <v>11922504.970000001</v>
      </c>
      <c r="P51" s="32">
        <f>SUM(P13:P48)</f>
        <v>1609840.0699999996</v>
      </c>
      <c r="Q51" s="32">
        <f t="shared" si="15"/>
        <v>0</v>
      </c>
      <c r="R51" s="32">
        <f t="shared" si="15"/>
        <v>1194991898.8585715</v>
      </c>
      <c r="S51" s="32">
        <f t="shared" si="15"/>
        <v>722411120.15999997</v>
      </c>
      <c r="T51" s="32">
        <f t="shared" si="15"/>
        <v>472580778.6985715</v>
      </c>
      <c r="U51" s="17">
        <f t="shared" si="7"/>
        <v>0.60453223226871267</v>
      </c>
    </row>
    <row r="52" spans="2:21" ht="27.75" customHeight="1">
      <c r="B52" s="18"/>
      <c r="C52" s="10"/>
      <c r="D52" s="10"/>
      <c r="E52" s="31"/>
      <c r="F52" s="32"/>
      <c r="G52" s="32"/>
      <c r="H52" s="32"/>
      <c r="I52" s="33"/>
      <c r="J52" s="32"/>
      <c r="K52" s="32"/>
      <c r="L52" s="32"/>
      <c r="M52" s="32"/>
      <c r="N52" s="32"/>
      <c r="O52" s="32"/>
      <c r="P52" s="32"/>
      <c r="Q52" s="33"/>
      <c r="R52" s="32"/>
      <c r="S52" s="32"/>
      <c r="T52" s="34"/>
      <c r="U52" s="17"/>
    </row>
    <row r="53" spans="2:21" ht="24.95" customHeight="1">
      <c r="B53" s="18"/>
      <c r="C53" s="24" t="s">
        <v>52</v>
      </c>
      <c r="D53" s="10"/>
      <c r="E53" s="22"/>
      <c r="F53" s="12">
        <f>SUM(F55:F80)</f>
        <v>540138423</v>
      </c>
      <c r="G53" s="12">
        <f t="shared" ref="G53:T53" si="16">SUM(G55:G80)</f>
        <v>320392142.08999997</v>
      </c>
      <c r="H53" s="12">
        <f t="shared" si="16"/>
        <v>219746280.91</v>
      </c>
      <c r="I53" s="12">
        <f t="shared" si="16"/>
        <v>0</v>
      </c>
      <c r="J53" s="12">
        <f>SUM(J55:J80)</f>
        <v>112395933</v>
      </c>
      <c r="K53" s="12">
        <f t="shared" ref="K53" si="17">SUM(K55:K80)</f>
        <v>52190345.230000004</v>
      </c>
      <c r="L53" s="12">
        <f>SUM(L55:L80)</f>
        <v>60205587.769999996</v>
      </c>
      <c r="M53" s="12">
        <f t="shared" si="16"/>
        <v>0</v>
      </c>
      <c r="N53" s="12">
        <f>SUM(N55:N80)</f>
        <v>20681290</v>
      </c>
      <c r="O53" s="12">
        <f t="shared" ref="O53" si="18">SUM(O55:O80)</f>
        <v>3345925.2299999995</v>
      </c>
      <c r="P53" s="12">
        <f>SUM(P55:P80)</f>
        <v>17335364.77</v>
      </c>
      <c r="Q53" s="12">
        <f t="shared" si="16"/>
        <v>0</v>
      </c>
      <c r="R53" s="12">
        <f t="shared" si="16"/>
        <v>673215646</v>
      </c>
      <c r="S53" s="12">
        <f t="shared" si="16"/>
        <v>375928412.54999995</v>
      </c>
      <c r="T53" s="14">
        <f t="shared" si="16"/>
        <v>297287233.45000005</v>
      </c>
      <c r="U53" s="17">
        <f>+S53/R53</f>
        <v>0.55840712375540946</v>
      </c>
    </row>
    <row r="54" spans="2:21" ht="24.95" customHeight="1">
      <c r="B54" s="18"/>
      <c r="C54" s="20" t="s">
        <v>53</v>
      </c>
      <c r="D54" s="20"/>
      <c r="E54" s="10"/>
      <c r="F54" s="12"/>
      <c r="G54" s="12"/>
      <c r="H54" s="12">
        <f t="shared" ref="H54:H59" si="19">+F54-G54</f>
        <v>0</v>
      </c>
      <c r="I54" s="13"/>
      <c r="J54" s="12"/>
      <c r="K54" s="12"/>
      <c r="L54" s="12">
        <f t="shared" ref="L54:L59" si="20">+J54-K54</f>
        <v>0</v>
      </c>
      <c r="M54" s="12"/>
      <c r="N54" s="12"/>
      <c r="O54" s="12"/>
      <c r="P54" s="12">
        <f t="shared" ref="P54:P59" si="21">+N54-O54</f>
        <v>0</v>
      </c>
      <c r="Q54" s="13"/>
      <c r="R54" s="12"/>
      <c r="S54" s="12"/>
      <c r="T54" s="14"/>
      <c r="U54" s="17"/>
    </row>
    <row r="55" spans="2:21" ht="24.95" customHeight="1">
      <c r="B55" s="18"/>
      <c r="C55" s="20"/>
      <c r="D55" s="20"/>
      <c r="E55" s="10" t="s">
        <v>54</v>
      </c>
      <c r="F55" s="35">
        <v>41672000</v>
      </c>
      <c r="G55" s="35">
        <v>41672000</v>
      </c>
      <c r="H55" s="12">
        <f t="shared" si="19"/>
        <v>0</v>
      </c>
      <c r="I55" s="13"/>
      <c r="J55" s="35"/>
      <c r="K55" s="36"/>
      <c r="L55" s="12">
        <f t="shared" si="20"/>
        <v>0</v>
      </c>
      <c r="M55" s="12"/>
      <c r="N55" s="35"/>
      <c r="O55" s="36"/>
      <c r="P55" s="12">
        <f t="shared" si="21"/>
        <v>0</v>
      </c>
      <c r="Q55" s="13"/>
      <c r="R55" s="12">
        <f>+F55+J55+N55</f>
        <v>41672000</v>
      </c>
      <c r="S55" s="12">
        <f t="shared" ref="R55:S59" si="22">+G55+K55+O55</f>
        <v>41672000</v>
      </c>
      <c r="T55" s="14">
        <f>+R55-S55</f>
        <v>0</v>
      </c>
      <c r="U55" s="17">
        <f t="shared" si="7"/>
        <v>1</v>
      </c>
    </row>
    <row r="56" spans="2:21" ht="30" customHeight="1">
      <c r="B56" s="18"/>
      <c r="C56" s="10"/>
      <c r="D56" s="10"/>
      <c r="E56" s="21" t="s">
        <v>55</v>
      </c>
      <c r="F56" s="36">
        <v>33572000</v>
      </c>
      <c r="G56" s="37">
        <v>31088187.710000001</v>
      </c>
      <c r="H56" s="12">
        <f t="shared" si="19"/>
        <v>2483812.2899999991</v>
      </c>
      <c r="I56" s="13"/>
      <c r="J56" s="36"/>
      <c r="K56" s="37"/>
      <c r="L56" s="12">
        <f t="shared" si="20"/>
        <v>0</v>
      </c>
      <c r="M56" s="38"/>
      <c r="N56" s="36">
        <v>350413</v>
      </c>
      <c r="O56" s="37">
        <v>350413</v>
      </c>
      <c r="P56" s="12">
        <f t="shared" si="21"/>
        <v>0</v>
      </c>
      <c r="Q56" s="39"/>
      <c r="R56" s="38">
        <f t="shared" si="22"/>
        <v>33922413</v>
      </c>
      <c r="S56" s="38">
        <f t="shared" si="22"/>
        <v>31438600.710000001</v>
      </c>
      <c r="T56" s="40">
        <f>+R56-S56</f>
        <v>2483812.2899999991</v>
      </c>
      <c r="U56" s="17">
        <f t="shared" si="7"/>
        <v>0.92677961057782066</v>
      </c>
    </row>
    <row r="57" spans="2:21" ht="30" customHeight="1">
      <c r="B57" s="18"/>
      <c r="C57" s="10"/>
      <c r="D57" s="10"/>
      <c r="E57" s="21" t="s">
        <v>56</v>
      </c>
      <c r="F57" s="12">
        <v>21811376</v>
      </c>
      <c r="G57" s="12">
        <v>11302730.57</v>
      </c>
      <c r="H57" s="12">
        <f t="shared" si="19"/>
        <v>10508645.43</v>
      </c>
      <c r="I57" s="13"/>
      <c r="J57" s="12"/>
      <c r="K57" s="12">
        <v>350000</v>
      </c>
      <c r="L57" s="12">
        <f t="shared" si="20"/>
        <v>-350000</v>
      </c>
      <c r="M57" s="12"/>
      <c r="N57" s="12"/>
      <c r="O57" s="12"/>
      <c r="P57" s="12">
        <f t="shared" si="21"/>
        <v>0</v>
      </c>
      <c r="Q57" s="13"/>
      <c r="R57" s="12">
        <f t="shared" si="22"/>
        <v>21811376</v>
      </c>
      <c r="S57" s="12">
        <f t="shared" si="22"/>
        <v>11652730.57</v>
      </c>
      <c r="T57" s="14">
        <f>+R57-S57</f>
        <v>10158645.43</v>
      </c>
      <c r="U57" s="17">
        <f t="shared" si="7"/>
        <v>0.5342501348837414</v>
      </c>
    </row>
    <row r="58" spans="2:21" ht="24.95" customHeight="1">
      <c r="B58" s="18"/>
      <c r="C58" s="10"/>
      <c r="D58" s="10"/>
      <c r="E58" s="28" t="s">
        <v>57</v>
      </c>
      <c r="F58" s="12">
        <v>2969000</v>
      </c>
      <c r="G58" s="12">
        <v>1841676.02</v>
      </c>
      <c r="H58" s="12">
        <f t="shared" si="19"/>
        <v>1127323.98</v>
      </c>
      <c r="I58" s="13"/>
      <c r="J58" s="12"/>
      <c r="K58" s="12"/>
      <c r="L58" s="12">
        <f t="shared" si="20"/>
        <v>0</v>
      </c>
      <c r="M58" s="12"/>
      <c r="N58" s="12"/>
      <c r="O58" s="12"/>
      <c r="P58" s="12">
        <f t="shared" si="21"/>
        <v>0</v>
      </c>
      <c r="Q58" s="13"/>
      <c r="R58" s="12">
        <f t="shared" si="22"/>
        <v>2969000</v>
      </c>
      <c r="S58" s="12">
        <f t="shared" si="22"/>
        <v>1841676.02</v>
      </c>
      <c r="T58" s="14">
        <f>+R58-S58</f>
        <v>1127323.98</v>
      </c>
      <c r="U58" s="17">
        <f t="shared" si="7"/>
        <v>0.6203017918491075</v>
      </c>
    </row>
    <row r="59" spans="2:21" ht="29.25" customHeight="1">
      <c r="B59" s="18"/>
      <c r="C59" s="10"/>
      <c r="D59" s="10"/>
      <c r="E59" s="21" t="s">
        <v>58</v>
      </c>
      <c r="F59" s="12">
        <v>3489000</v>
      </c>
      <c r="G59" s="12">
        <v>1512131.97</v>
      </c>
      <c r="H59" s="12">
        <f t="shared" si="19"/>
        <v>1976868.03</v>
      </c>
      <c r="I59" s="13"/>
      <c r="J59" s="12"/>
      <c r="K59" s="12"/>
      <c r="L59" s="12">
        <f t="shared" si="20"/>
        <v>0</v>
      </c>
      <c r="M59" s="12"/>
      <c r="N59" s="12"/>
      <c r="O59" s="12"/>
      <c r="P59" s="12">
        <f t="shared" si="21"/>
        <v>0</v>
      </c>
      <c r="Q59" s="13"/>
      <c r="R59" s="12">
        <f t="shared" si="22"/>
        <v>3489000</v>
      </c>
      <c r="S59" s="12">
        <f t="shared" si="22"/>
        <v>1512131.97</v>
      </c>
      <c r="T59" s="14">
        <f>+R59-S59</f>
        <v>1976868.03</v>
      </c>
      <c r="U59" s="17">
        <f t="shared" si="7"/>
        <v>0.43339981943250216</v>
      </c>
    </row>
    <row r="60" spans="2:21" ht="24.95" customHeight="1">
      <c r="B60" s="18"/>
      <c r="C60" s="10"/>
      <c r="D60" s="10"/>
      <c r="E60" s="21"/>
      <c r="F60" s="12"/>
      <c r="G60" s="12"/>
      <c r="H60" s="12"/>
      <c r="I60" s="13"/>
      <c r="J60" s="12"/>
      <c r="K60" s="12"/>
      <c r="L60" s="12"/>
      <c r="M60" s="12"/>
      <c r="N60" s="12"/>
      <c r="O60" s="12"/>
      <c r="P60" s="12"/>
      <c r="Q60" s="13"/>
      <c r="R60" s="12"/>
      <c r="S60" s="12"/>
      <c r="T60" s="14"/>
      <c r="U60" s="17"/>
    </row>
    <row r="61" spans="2:21" ht="24.95" customHeight="1">
      <c r="B61" s="18"/>
      <c r="C61" s="20" t="s">
        <v>59</v>
      </c>
      <c r="D61" s="20"/>
      <c r="E61" s="10"/>
      <c r="F61" s="12"/>
      <c r="G61" s="12"/>
      <c r="H61" s="12"/>
      <c r="I61" s="13"/>
      <c r="J61" s="12"/>
      <c r="K61" s="12"/>
      <c r="L61" s="12"/>
      <c r="M61" s="12"/>
      <c r="N61" s="12"/>
      <c r="O61" s="12"/>
      <c r="P61" s="12"/>
      <c r="Q61" s="13"/>
      <c r="R61" s="12"/>
      <c r="S61" s="12"/>
      <c r="T61" s="14"/>
      <c r="U61" s="17"/>
    </row>
    <row r="62" spans="2:21" ht="24.95" customHeight="1">
      <c r="B62" s="18"/>
      <c r="C62" s="20"/>
      <c r="D62" s="20"/>
      <c r="E62" s="10" t="s">
        <v>60</v>
      </c>
      <c r="F62" s="12">
        <v>22114722</v>
      </c>
      <c r="G62" s="12">
        <v>22114722</v>
      </c>
      <c r="H62" s="12">
        <f>+F62-G62</f>
        <v>0</v>
      </c>
      <c r="I62" s="13"/>
      <c r="J62" s="12">
        <v>56498548</v>
      </c>
      <c r="K62" s="12">
        <v>27935228.57</v>
      </c>
      <c r="L62" s="12">
        <f>+J62-K62</f>
        <v>28563319.43</v>
      </c>
      <c r="M62" s="12"/>
      <c r="N62" s="12"/>
      <c r="O62" s="12"/>
      <c r="P62" s="12">
        <f>+N62-O62</f>
        <v>0</v>
      </c>
      <c r="Q62" s="13"/>
      <c r="R62" s="12">
        <f t="shared" ref="R62:S65" si="23">+F62+J62+N62</f>
        <v>78613270</v>
      </c>
      <c r="S62" s="12">
        <f t="shared" si="23"/>
        <v>50049950.57</v>
      </c>
      <c r="T62" s="14">
        <f>+R62-S62</f>
        <v>28563319.43</v>
      </c>
      <c r="U62" s="17">
        <f t="shared" si="7"/>
        <v>0.63666033190070837</v>
      </c>
    </row>
    <row r="63" spans="2:21" ht="30" customHeight="1">
      <c r="B63" s="18"/>
      <c r="C63" s="10"/>
      <c r="D63" s="10"/>
      <c r="E63" s="21" t="s">
        <v>61</v>
      </c>
      <c r="F63" s="12">
        <v>14728431</v>
      </c>
      <c r="G63" s="12">
        <v>13678251.789999999</v>
      </c>
      <c r="H63" s="12">
        <f>+F63-G63</f>
        <v>1050179.2100000009</v>
      </c>
      <c r="I63" s="13"/>
      <c r="J63" s="12"/>
      <c r="K63" s="12"/>
      <c r="L63" s="12">
        <f>+J63-K63</f>
        <v>0</v>
      </c>
      <c r="M63" s="12"/>
      <c r="N63" s="12">
        <v>16737000</v>
      </c>
      <c r="O63" s="12"/>
      <c r="P63" s="12">
        <f>+N63-O63</f>
        <v>16737000</v>
      </c>
      <c r="Q63" s="13"/>
      <c r="R63" s="12">
        <f t="shared" si="23"/>
        <v>31465431</v>
      </c>
      <c r="S63" s="12">
        <f t="shared" si="23"/>
        <v>13678251.789999999</v>
      </c>
      <c r="T63" s="14">
        <f>+R63-S63</f>
        <v>17787179.210000001</v>
      </c>
      <c r="U63" s="17">
        <f t="shared" si="7"/>
        <v>0.43470727574016066</v>
      </c>
    </row>
    <row r="64" spans="2:21" ht="30" customHeight="1">
      <c r="B64" s="18"/>
      <c r="C64" s="10"/>
      <c r="D64" s="10"/>
      <c r="E64" s="22" t="s">
        <v>62</v>
      </c>
      <c r="F64" s="12">
        <v>23554119</v>
      </c>
      <c r="G64" s="12">
        <v>20760570.48</v>
      </c>
      <c r="H64" s="12">
        <f>+F64-G64</f>
        <v>2793548.5199999996</v>
      </c>
      <c r="I64" s="13"/>
      <c r="J64" s="12"/>
      <c r="K64" s="12"/>
      <c r="L64" s="12">
        <f>+J64-K64</f>
        <v>0</v>
      </c>
      <c r="M64" s="12"/>
      <c r="N64" s="12">
        <v>568008</v>
      </c>
      <c r="O64" s="12"/>
      <c r="P64" s="12">
        <f>+N64-O64</f>
        <v>568008</v>
      </c>
      <c r="Q64" s="13"/>
      <c r="R64" s="12">
        <f t="shared" si="23"/>
        <v>24122127</v>
      </c>
      <c r="S64" s="12">
        <f t="shared" si="23"/>
        <v>20760570.48</v>
      </c>
      <c r="T64" s="14">
        <f>+R64-S64</f>
        <v>3361556.5199999996</v>
      </c>
      <c r="U64" s="17">
        <f t="shared" si="7"/>
        <v>0.8606442740310587</v>
      </c>
    </row>
    <row r="65" spans="2:21" ht="30" customHeight="1">
      <c r="B65" s="18"/>
      <c r="C65" s="10"/>
      <c r="D65" s="10"/>
      <c r="E65" s="21" t="s">
        <v>63</v>
      </c>
      <c r="F65" s="12">
        <v>13876378</v>
      </c>
      <c r="G65" s="12">
        <v>13802808.83</v>
      </c>
      <c r="H65" s="12">
        <f>+F65-G65</f>
        <v>73569.169999999925</v>
      </c>
      <c r="I65" s="13"/>
      <c r="J65" s="12"/>
      <c r="K65" s="12"/>
      <c r="L65" s="12">
        <f>+J65-K65</f>
        <v>0</v>
      </c>
      <c r="M65" s="12"/>
      <c r="N65" s="12">
        <v>193532</v>
      </c>
      <c r="O65" s="12">
        <v>193531.17</v>
      </c>
      <c r="P65" s="12">
        <f>+N65-O65</f>
        <v>0.82999999998719431</v>
      </c>
      <c r="Q65" s="13"/>
      <c r="R65" s="12">
        <f t="shared" si="23"/>
        <v>14069910</v>
      </c>
      <c r="S65" s="12">
        <f t="shared" si="23"/>
        <v>13996340</v>
      </c>
      <c r="T65" s="14">
        <f>+R65-S65</f>
        <v>73570</v>
      </c>
      <c r="U65" s="17">
        <f t="shared" si="7"/>
        <v>0.99477111083155467</v>
      </c>
    </row>
    <row r="66" spans="2:21" ht="24.95" customHeight="1">
      <c r="B66" s="18"/>
      <c r="C66" s="10"/>
      <c r="D66" s="10"/>
      <c r="E66" s="21"/>
      <c r="F66" s="12"/>
      <c r="G66" s="12"/>
      <c r="H66" s="12"/>
      <c r="I66" s="13"/>
      <c r="J66" s="12"/>
      <c r="K66" s="12"/>
      <c r="L66" s="12"/>
      <c r="M66" s="12"/>
      <c r="N66" s="12"/>
      <c r="O66" s="12"/>
      <c r="P66" s="12"/>
      <c r="Q66" s="13"/>
      <c r="R66" s="12"/>
      <c r="S66" s="12"/>
      <c r="T66" s="14"/>
      <c r="U66" s="17"/>
    </row>
    <row r="67" spans="2:21" ht="24.95" customHeight="1">
      <c r="B67" s="18"/>
      <c r="C67" s="20" t="s">
        <v>64</v>
      </c>
      <c r="D67" s="20"/>
      <c r="E67" s="10"/>
      <c r="F67" s="12"/>
      <c r="G67" s="12"/>
      <c r="H67" s="12"/>
      <c r="I67" s="13"/>
      <c r="J67" s="12"/>
      <c r="K67" s="12"/>
      <c r="L67" s="12"/>
      <c r="M67" s="12"/>
      <c r="N67" s="12"/>
      <c r="O67" s="12"/>
      <c r="P67" s="12"/>
      <c r="Q67" s="13"/>
      <c r="R67" s="12"/>
      <c r="S67" s="12"/>
      <c r="T67" s="14"/>
      <c r="U67" s="17"/>
    </row>
    <row r="68" spans="2:21" ht="24.95" customHeight="1">
      <c r="B68" s="18"/>
      <c r="C68" s="20"/>
      <c r="D68" s="20"/>
      <c r="E68" s="10" t="s">
        <v>65</v>
      </c>
      <c r="F68" s="12">
        <v>23948000</v>
      </c>
      <c r="G68" s="12">
        <v>23930063.359999999</v>
      </c>
      <c r="H68" s="12">
        <f>+F68-G68</f>
        <v>17936.640000000596</v>
      </c>
      <c r="I68" s="13"/>
      <c r="J68" s="12">
        <v>52505770</v>
      </c>
      <c r="K68" s="12">
        <v>20581147.600000001</v>
      </c>
      <c r="L68" s="12">
        <f>+J68-K68</f>
        <v>31924622.399999999</v>
      </c>
      <c r="M68" s="12"/>
      <c r="N68" s="12">
        <v>923215</v>
      </c>
      <c r="O68" s="12">
        <v>922865</v>
      </c>
      <c r="P68" s="12">
        <f>+N68-O68</f>
        <v>350</v>
      </c>
      <c r="Q68" s="13"/>
      <c r="R68" s="12">
        <f t="shared" ref="R68:S72" si="24">+F68+J68+N68</f>
        <v>77376985</v>
      </c>
      <c r="S68" s="12">
        <f t="shared" si="24"/>
        <v>45434075.960000001</v>
      </c>
      <c r="T68" s="14">
        <f>+R68-S68</f>
        <v>31942909.039999999</v>
      </c>
      <c r="U68" s="17">
        <f t="shared" si="7"/>
        <v>0.58717816363612518</v>
      </c>
    </row>
    <row r="69" spans="2:21" ht="30.75" customHeight="1">
      <c r="B69" s="18"/>
      <c r="C69" s="10"/>
      <c r="D69" s="10"/>
      <c r="E69" s="21" t="s">
        <v>66</v>
      </c>
      <c r="F69" s="12">
        <v>69840225</v>
      </c>
      <c r="G69" s="12">
        <v>24450092.579999998</v>
      </c>
      <c r="H69" s="12">
        <f>+F69-G69</f>
        <v>45390132.420000002</v>
      </c>
      <c r="I69" s="13"/>
      <c r="J69" s="12"/>
      <c r="K69" s="12"/>
      <c r="L69" s="12">
        <f>+J69-K69</f>
        <v>0</v>
      </c>
      <c r="M69" s="12"/>
      <c r="N69" s="12"/>
      <c r="O69" s="12"/>
      <c r="P69" s="12">
        <f>+N69-O69</f>
        <v>0</v>
      </c>
      <c r="Q69" s="13"/>
      <c r="R69" s="12">
        <f t="shared" si="24"/>
        <v>69840225</v>
      </c>
      <c r="S69" s="12">
        <f t="shared" si="24"/>
        <v>24450092.579999998</v>
      </c>
      <c r="T69" s="14">
        <f>+R69-S69</f>
        <v>45390132.420000002</v>
      </c>
      <c r="U69" s="17">
        <f t="shared" si="7"/>
        <v>0.35008610839956483</v>
      </c>
    </row>
    <row r="70" spans="2:21" ht="30.75" customHeight="1">
      <c r="B70" s="18"/>
      <c r="C70" s="10"/>
      <c r="D70" s="10"/>
      <c r="E70" s="21" t="s">
        <v>67</v>
      </c>
      <c r="F70" s="12">
        <v>12118000</v>
      </c>
      <c r="G70" s="12">
        <v>6969079.6399999997</v>
      </c>
      <c r="H70" s="12">
        <f>+F70-G70</f>
        <v>5148920.3600000003</v>
      </c>
      <c r="I70" s="13"/>
      <c r="J70" s="12"/>
      <c r="K70" s="12"/>
      <c r="L70" s="12">
        <f>+J70-K70</f>
        <v>0</v>
      </c>
      <c r="M70" s="12"/>
      <c r="N70" s="12"/>
      <c r="O70" s="12"/>
      <c r="P70" s="12">
        <f>+N70-O70</f>
        <v>0</v>
      </c>
      <c r="Q70" s="13"/>
      <c r="R70" s="12">
        <f t="shared" si="24"/>
        <v>12118000</v>
      </c>
      <c r="S70" s="12">
        <f t="shared" si="24"/>
        <v>6969079.6399999997</v>
      </c>
      <c r="T70" s="14">
        <f>+R70-S70</f>
        <v>5148920.3600000003</v>
      </c>
      <c r="U70" s="17">
        <f t="shared" si="7"/>
        <v>0.5751014721901303</v>
      </c>
    </row>
    <row r="71" spans="2:21" ht="30.75" customHeight="1">
      <c r="B71" s="18"/>
      <c r="C71" s="10"/>
      <c r="D71" s="10"/>
      <c r="E71" s="22" t="s">
        <v>68</v>
      </c>
      <c r="F71" s="12">
        <v>5584650</v>
      </c>
      <c r="G71" s="12">
        <v>5066496.5599999996</v>
      </c>
      <c r="H71" s="12">
        <f>+F71-G71</f>
        <v>518153.44000000041</v>
      </c>
      <c r="I71" s="13"/>
      <c r="J71" s="12">
        <v>1109080</v>
      </c>
      <c r="K71" s="12">
        <v>1048911.93</v>
      </c>
      <c r="L71" s="12">
        <f>+J71-K71</f>
        <v>60168.070000000065</v>
      </c>
      <c r="M71" s="12"/>
      <c r="N71" s="12"/>
      <c r="O71" s="12"/>
      <c r="P71" s="12">
        <f>+N71-O71</f>
        <v>0</v>
      </c>
      <c r="Q71" s="13"/>
      <c r="R71" s="12">
        <f t="shared" si="24"/>
        <v>6693730</v>
      </c>
      <c r="S71" s="12">
        <f t="shared" si="24"/>
        <v>6115408.4899999993</v>
      </c>
      <c r="T71" s="14">
        <f>+R71-S71</f>
        <v>578321.51000000071</v>
      </c>
      <c r="U71" s="17">
        <f t="shared" si="7"/>
        <v>0.91360250413446598</v>
      </c>
    </row>
    <row r="72" spans="2:21" ht="24.95" customHeight="1">
      <c r="B72" s="18"/>
      <c r="C72" s="10"/>
      <c r="D72" s="10"/>
      <c r="E72" s="41" t="s">
        <v>69</v>
      </c>
      <c r="F72" s="12">
        <v>11512000</v>
      </c>
      <c r="G72" s="12">
        <v>1980129.85</v>
      </c>
      <c r="H72" s="12">
        <f>+F72-G72</f>
        <v>9531870.1500000004</v>
      </c>
      <c r="I72" s="13"/>
      <c r="J72" s="12"/>
      <c r="K72" s="12"/>
      <c r="L72" s="12">
        <f>+J72-K72</f>
        <v>0</v>
      </c>
      <c r="M72" s="12"/>
      <c r="N72" s="12">
        <v>1050586</v>
      </c>
      <c r="O72" s="12">
        <v>1050583.43</v>
      </c>
      <c r="P72" s="12">
        <f>+N72-O72</f>
        <v>2.5700000000651926</v>
      </c>
      <c r="Q72" s="13"/>
      <c r="R72" s="12">
        <f t="shared" si="24"/>
        <v>12562586</v>
      </c>
      <c r="S72" s="12">
        <f t="shared" si="24"/>
        <v>3030713.2800000003</v>
      </c>
      <c r="T72" s="14">
        <f>+R72-S72</f>
        <v>9531872.7199999988</v>
      </c>
      <c r="U72" s="17">
        <f t="shared" si="7"/>
        <v>0.24124915682169262</v>
      </c>
    </row>
    <row r="73" spans="2:21" ht="24.95" customHeight="1">
      <c r="B73" s="18"/>
      <c r="C73" s="10"/>
      <c r="D73" s="10"/>
      <c r="E73" s="41"/>
      <c r="F73" s="12"/>
      <c r="G73" s="12"/>
      <c r="H73" s="12"/>
      <c r="I73" s="13"/>
      <c r="J73" s="12"/>
      <c r="K73" s="12"/>
      <c r="L73" s="12"/>
      <c r="M73" s="12"/>
      <c r="N73" s="12"/>
      <c r="O73" s="12"/>
      <c r="P73" s="12"/>
      <c r="Q73" s="13"/>
      <c r="R73" s="12"/>
      <c r="S73" s="12"/>
      <c r="T73" s="14"/>
      <c r="U73" s="17"/>
    </row>
    <row r="74" spans="2:21" ht="24.95" customHeight="1">
      <c r="B74" s="18"/>
      <c r="C74" s="20" t="s">
        <v>70</v>
      </c>
      <c r="D74" s="20"/>
      <c r="E74" s="10"/>
      <c r="F74" s="12"/>
      <c r="G74" s="12"/>
      <c r="H74" s="12"/>
      <c r="I74" s="13"/>
      <c r="J74" s="12"/>
      <c r="K74" s="12"/>
      <c r="L74" s="12"/>
      <c r="M74" s="12"/>
      <c r="N74" s="12"/>
      <c r="O74" s="12"/>
      <c r="P74" s="12"/>
      <c r="Q74" s="13"/>
      <c r="R74" s="12"/>
      <c r="S74" s="12"/>
      <c r="T74" s="14"/>
      <c r="U74" s="17"/>
    </row>
    <row r="75" spans="2:21" ht="24.95" customHeight="1">
      <c r="B75" s="18"/>
      <c r="C75" s="20"/>
      <c r="D75" s="20"/>
      <c r="E75" s="10" t="s">
        <v>71</v>
      </c>
      <c r="F75" s="12">
        <v>154659000</v>
      </c>
      <c r="G75" s="12">
        <v>48027928.969999999</v>
      </c>
      <c r="H75" s="12">
        <f t="shared" ref="H75:H80" si="25">+F75-G75</f>
        <v>106631071.03</v>
      </c>
      <c r="I75" s="13"/>
      <c r="J75" s="12">
        <v>2282535</v>
      </c>
      <c r="K75" s="12">
        <v>2275057.13</v>
      </c>
      <c r="L75" s="12">
        <f t="shared" ref="L75:L80" si="26">+J75-K75</f>
        <v>7477.8700000001118</v>
      </c>
      <c r="M75" s="12"/>
      <c r="N75" s="12"/>
      <c r="O75" s="12"/>
      <c r="P75" s="12">
        <f t="shared" ref="P75:P80" si="27">+N75-O75</f>
        <v>0</v>
      </c>
      <c r="Q75" s="13"/>
      <c r="R75" s="12">
        <f t="shared" ref="R75:S80" si="28">+F75+J75+N75</f>
        <v>156941535</v>
      </c>
      <c r="S75" s="12">
        <f t="shared" si="28"/>
        <v>50302986.100000001</v>
      </c>
      <c r="T75" s="14">
        <f t="shared" ref="T75:T80" si="29">+R75-S75</f>
        <v>106638548.90000001</v>
      </c>
      <c r="U75" s="17">
        <f t="shared" ref="U75:U137" si="30">+S75/R75</f>
        <v>0.3205205435259697</v>
      </c>
    </row>
    <row r="76" spans="2:21" ht="28.5" customHeight="1">
      <c r="B76" s="18"/>
      <c r="C76" s="10"/>
      <c r="D76" s="10"/>
      <c r="E76" s="21" t="s">
        <v>72</v>
      </c>
      <c r="F76" s="12">
        <v>27958047</v>
      </c>
      <c r="G76" s="12">
        <v>18042794.120000001</v>
      </c>
      <c r="H76" s="12">
        <f t="shared" si="25"/>
        <v>9915252.879999999</v>
      </c>
      <c r="I76" s="13"/>
      <c r="J76" s="12"/>
      <c r="K76" s="12"/>
      <c r="L76" s="12">
        <f t="shared" si="26"/>
        <v>0</v>
      </c>
      <c r="M76" s="12"/>
      <c r="N76" s="12">
        <v>665946</v>
      </c>
      <c r="O76" s="12">
        <v>635942.97</v>
      </c>
      <c r="P76" s="12">
        <f t="shared" si="27"/>
        <v>30003.030000000028</v>
      </c>
      <c r="Q76" s="13"/>
      <c r="R76" s="12">
        <f t="shared" si="28"/>
        <v>28623993</v>
      </c>
      <c r="S76" s="12">
        <f t="shared" si="28"/>
        <v>18678737.09</v>
      </c>
      <c r="T76" s="14">
        <f t="shared" si="29"/>
        <v>9945255.9100000001</v>
      </c>
      <c r="U76" s="17">
        <f t="shared" si="30"/>
        <v>0.65255525635434586</v>
      </c>
    </row>
    <row r="77" spans="2:21" ht="28.5" customHeight="1">
      <c r="B77" s="18"/>
      <c r="C77" s="10"/>
      <c r="D77" s="10"/>
      <c r="E77" s="21" t="s">
        <v>73</v>
      </c>
      <c r="F77" s="12">
        <v>8907000</v>
      </c>
      <c r="G77" s="12">
        <v>1277398.71</v>
      </c>
      <c r="H77" s="12">
        <f t="shared" si="25"/>
        <v>7629601.29</v>
      </c>
      <c r="I77" s="13"/>
      <c r="J77" s="12"/>
      <c r="K77" s="12"/>
      <c r="L77" s="12">
        <f t="shared" si="26"/>
        <v>0</v>
      </c>
      <c r="M77" s="12"/>
      <c r="N77" s="12"/>
      <c r="O77" s="12"/>
      <c r="P77" s="12">
        <f t="shared" si="27"/>
        <v>0</v>
      </c>
      <c r="Q77" s="13"/>
      <c r="R77" s="12">
        <f t="shared" si="28"/>
        <v>8907000</v>
      </c>
      <c r="S77" s="12">
        <f t="shared" si="28"/>
        <v>1277398.71</v>
      </c>
      <c r="T77" s="14">
        <f t="shared" si="29"/>
        <v>7629601.29</v>
      </c>
      <c r="U77" s="17">
        <f t="shared" si="30"/>
        <v>0.14341514651397777</v>
      </c>
    </row>
    <row r="78" spans="2:21" ht="28.5" customHeight="1">
      <c r="B78" s="18"/>
      <c r="C78" s="10"/>
      <c r="D78" s="10"/>
      <c r="E78" s="21" t="s">
        <v>74</v>
      </c>
      <c r="F78" s="12">
        <v>20896357</v>
      </c>
      <c r="G78" s="12">
        <v>17624223.690000001</v>
      </c>
      <c r="H78" s="12">
        <f t="shared" si="25"/>
        <v>3272133.3099999987</v>
      </c>
      <c r="I78" s="13"/>
      <c r="J78" s="12"/>
      <c r="K78" s="12"/>
      <c r="L78" s="12">
        <f t="shared" si="26"/>
        <v>0</v>
      </c>
      <c r="M78" s="12"/>
      <c r="N78" s="12"/>
      <c r="O78" s="12"/>
      <c r="P78" s="12">
        <f t="shared" si="27"/>
        <v>0</v>
      </c>
      <c r="Q78" s="13"/>
      <c r="R78" s="12">
        <f t="shared" si="28"/>
        <v>20896357</v>
      </c>
      <c r="S78" s="12">
        <f t="shared" si="28"/>
        <v>17624223.690000001</v>
      </c>
      <c r="T78" s="14">
        <f t="shared" si="29"/>
        <v>3272133.3099999987</v>
      </c>
      <c r="U78" s="17">
        <f t="shared" si="30"/>
        <v>0.84341130322381075</v>
      </c>
    </row>
    <row r="79" spans="2:21" ht="24.95" customHeight="1">
      <c r="B79" s="18"/>
      <c r="C79" s="10"/>
      <c r="D79" s="10"/>
      <c r="E79" s="28" t="s">
        <v>75</v>
      </c>
      <c r="F79" s="12">
        <v>7793000</v>
      </c>
      <c r="G79" s="12">
        <v>4759883.6900000004</v>
      </c>
      <c r="H79" s="12">
        <f t="shared" si="25"/>
        <v>3033116.3099999996</v>
      </c>
      <c r="I79" s="13"/>
      <c r="J79" s="12"/>
      <c r="K79" s="12"/>
      <c r="L79" s="12">
        <f t="shared" si="26"/>
        <v>0</v>
      </c>
      <c r="M79" s="12"/>
      <c r="N79" s="12">
        <v>192590</v>
      </c>
      <c r="O79" s="12">
        <v>192589.66</v>
      </c>
      <c r="P79" s="12">
        <f t="shared" si="27"/>
        <v>0.33999999999650754</v>
      </c>
      <c r="Q79" s="13"/>
      <c r="R79" s="12">
        <f t="shared" si="28"/>
        <v>7985590</v>
      </c>
      <c r="S79" s="12">
        <f t="shared" si="28"/>
        <v>4952473.3500000006</v>
      </c>
      <c r="T79" s="14">
        <f t="shared" si="29"/>
        <v>3033116.6499999994</v>
      </c>
      <c r="U79" s="17">
        <f t="shared" si="30"/>
        <v>0.62017626124055958</v>
      </c>
    </row>
    <row r="80" spans="2:21" ht="24.95" customHeight="1">
      <c r="B80" s="18"/>
      <c r="C80" s="10"/>
      <c r="D80" s="10"/>
      <c r="E80" s="22" t="s">
        <v>76</v>
      </c>
      <c r="F80" s="12">
        <v>19135118</v>
      </c>
      <c r="G80" s="12">
        <v>10490971.550000001</v>
      </c>
      <c r="H80" s="12">
        <f t="shared" si="25"/>
        <v>8644146.4499999993</v>
      </c>
      <c r="I80" s="13"/>
      <c r="J80" s="12"/>
      <c r="K80" s="12"/>
      <c r="L80" s="12">
        <f t="shared" si="26"/>
        <v>0</v>
      </c>
      <c r="M80" s="12"/>
      <c r="N80" s="12"/>
      <c r="O80" s="12"/>
      <c r="P80" s="12">
        <f t="shared" si="27"/>
        <v>0</v>
      </c>
      <c r="Q80" s="13"/>
      <c r="R80" s="12">
        <f t="shared" si="28"/>
        <v>19135118</v>
      </c>
      <c r="S80" s="12">
        <f t="shared" si="28"/>
        <v>10490971.550000001</v>
      </c>
      <c r="T80" s="14">
        <f t="shared" si="29"/>
        <v>8644146.4499999993</v>
      </c>
      <c r="U80" s="17">
        <f t="shared" si="30"/>
        <v>0.54825747873621689</v>
      </c>
    </row>
    <row r="81" spans="2:21" ht="27.75" customHeight="1">
      <c r="B81" s="18"/>
      <c r="C81" s="10"/>
      <c r="D81" s="10"/>
      <c r="E81" s="31" t="s">
        <v>51</v>
      </c>
      <c r="F81" s="32">
        <f>SUM(F55:F80)</f>
        <v>540138423</v>
      </c>
      <c r="G81" s="32">
        <f t="shared" ref="G81:S81" si="31">SUM(G55:G80)</f>
        <v>320392142.08999997</v>
      </c>
      <c r="H81" s="32">
        <f t="shared" si="31"/>
        <v>219746280.91</v>
      </c>
      <c r="I81" s="32">
        <f t="shared" si="31"/>
        <v>0</v>
      </c>
      <c r="J81" s="32">
        <f>SUM(J55:J80)</f>
        <v>112395933</v>
      </c>
      <c r="K81" s="32">
        <f t="shared" ref="K81" si="32">SUM(K55:K80)</f>
        <v>52190345.230000004</v>
      </c>
      <c r="L81" s="32">
        <f>SUM(L55:L80)</f>
        <v>60205587.769999996</v>
      </c>
      <c r="M81" s="32">
        <f t="shared" si="31"/>
        <v>0</v>
      </c>
      <c r="N81" s="32">
        <f>SUM(N55:N80)</f>
        <v>20681290</v>
      </c>
      <c r="O81" s="32">
        <f t="shared" ref="O81" si="33">SUM(O55:O80)</f>
        <v>3345925.2299999995</v>
      </c>
      <c r="P81" s="32">
        <f>SUM(P55:P80)</f>
        <v>17335364.77</v>
      </c>
      <c r="Q81" s="32">
        <f t="shared" si="31"/>
        <v>0</v>
      </c>
      <c r="R81" s="32">
        <f t="shared" si="31"/>
        <v>673215646</v>
      </c>
      <c r="S81" s="32">
        <f t="shared" si="31"/>
        <v>375928412.54999995</v>
      </c>
      <c r="T81" s="34">
        <f>SUM(T55:T80)</f>
        <v>297287233.45000005</v>
      </c>
      <c r="U81" s="17">
        <f t="shared" si="30"/>
        <v>0.55840712375540946</v>
      </c>
    </row>
    <row r="82" spans="2:21" ht="24.95" customHeight="1">
      <c r="B82" s="18"/>
      <c r="C82" s="10"/>
      <c r="D82" s="10"/>
      <c r="E82" s="22"/>
      <c r="F82" s="12"/>
      <c r="G82" s="12"/>
      <c r="H82" s="12"/>
      <c r="I82" s="13"/>
      <c r="J82" s="12"/>
      <c r="K82" s="12"/>
      <c r="L82" s="12"/>
      <c r="M82" s="12"/>
      <c r="N82" s="12"/>
      <c r="O82" s="12"/>
      <c r="P82" s="12"/>
      <c r="Q82" s="13"/>
      <c r="R82" s="12"/>
      <c r="S82" s="12"/>
      <c r="T82" s="14"/>
      <c r="U82" s="17"/>
    </row>
    <row r="83" spans="2:21" ht="24.95" customHeight="1">
      <c r="B83" s="18"/>
      <c r="C83" s="24" t="s">
        <v>77</v>
      </c>
      <c r="D83" s="10"/>
      <c r="E83" s="22"/>
      <c r="F83" s="12">
        <f>SUM(F85:F103)</f>
        <v>325956774</v>
      </c>
      <c r="G83" s="12">
        <f t="shared" ref="G83:T83" si="34">SUM(G85:G103)</f>
        <v>206485767.31999999</v>
      </c>
      <c r="H83" s="12">
        <f t="shared" si="34"/>
        <v>119471006.68000001</v>
      </c>
      <c r="I83" s="12">
        <f t="shared" si="34"/>
        <v>0</v>
      </c>
      <c r="J83" s="12">
        <f>SUM(J85:J103)</f>
        <v>220657000</v>
      </c>
      <c r="K83" s="12">
        <f t="shared" ref="K83" si="35">SUM(K85:K103)</f>
        <v>73294782.209999993</v>
      </c>
      <c r="L83" s="12">
        <f>SUM(L85:L103)</f>
        <v>147362217.79000002</v>
      </c>
      <c r="M83" s="12">
        <f t="shared" si="34"/>
        <v>0</v>
      </c>
      <c r="N83" s="12">
        <f>SUM(N85:N103)</f>
        <v>3335599.13</v>
      </c>
      <c r="O83" s="12">
        <f t="shared" ref="O83" si="36">SUM(O85:O103)</f>
        <v>8758912.3499999996</v>
      </c>
      <c r="P83" s="12">
        <f>SUM(P85:P103)</f>
        <v>-5423313.2200000007</v>
      </c>
      <c r="Q83" s="12">
        <f t="shared" si="34"/>
        <v>0</v>
      </c>
      <c r="R83" s="12">
        <f t="shared" si="34"/>
        <v>549949373.13</v>
      </c>
      <c r="S83" s="12">
        <f t="shared" si="34"/>
        <v>288539461.88</v>
      </c>
      <c r="T83" s="14">
        <f t="shared" si="34"/>
        <v>261409911.25</v>
      </c>
      <c r="U83" s="17">
        <f>+S83/R83</f>
        <v>0.5246654982763177</v>
      </c>
    </row>
    <row r="84" spans="2:21" ht="24.95" customHeight="1">
      <c r="B84" s="18"/>
      <c r="C84" s="20" t="s">
        <v>78</v>
      </c>
      <c r="D84" s="20"/>
      <c r="E84" s="10"/>
      <c r="F84" s="12"/>
      <c r="G84" s="12"/>
      <c r="H84" s="12">
        <f t="shared" ref="H84:H89" si="37">+F84-G84</f>
        <v>0</v>
      </c>
      <c r="I84" s="13"/>
      <c r="J84" s="12"/>
      <c r="K84" s="12"/>
      <c r="L84" s="12">
        <f t="shared" ref="L84:L89" si="38">+J84-K84</f>
        <v>0</v>
      </c>
      <c r="M84" s="12"/>
      <c r="N84" s="12"/>
      <c r="O84" s="12"/>
      <c r="P84" s="12">
        <f t="shared" ref="P84:P89" si="39">+N84-O84</f>
        <v>0</v>
      </c>
      <c r="Q84" s="13"/>
      <c r="R84" s="12"/>
      <c r="S84" s="12"/>
      <c r="T84" s="14"/>
      <c r="U84" s="17"/>
    </row>
    <row r="85" spans="2:21" ht="24.95" customHeight="1">
      <c r="B85" s="18"/>
      <c r="C85" s="20"/>
      <c r="D85" s="20"/>
      <c r="E85" s="10" t="s">
        <v>79</v>
      </c>
      <c r="F85" s="42">
        <v>64661000</v>
      </c>
      <c r="G85" s="12">
        <v>28411668.689999998</v>
      </c>
      <c r="H85" s="12">
        <f t="shared" si="37"/>
        <v>36249331.310000002</v>
      </c>
      <c r="I85" s="13"/>
      <c r="J85" s="42"/>
      <c r="K85" s="12"/>
      <c r="L85" s="12">
        <f t="shared" si="38"/>
        <v>0</v>
      </c>
      <c r="M85" s="12"/>
      <c r="N85" s="42"/>
      <c r="O85" s="12">
        <v>5974892.2400000002</v>
      </c>
      <c r="P85" s="12">
        <f t="shared" si="39"/>
        <v>-5974892.2400000002</v>
      </c>
      <c r="Q85" s="13"/>
      <c r="R85" s="12">
        <f t="shared" ref="R85:S89" si="40">+F85+J85+N85</f>
        <v>64661000</v>
      </c>
      <c r="S85" s="12">
        <f t="shared" si="40"/>
        <v>34386560.93</v>
      </c>
      <c r="T85" s="14">
        <f>+R85-S85</f>
        <v>30274439.07</v>
      </c>
      <c r="U85" s="17">
        <f t="shared" si="30"/>
        <v>0.53179754303212134</v>
      </c>
    </row>
    <row r="86" spans="2:21" ht="27" customHeight="1">
      <c r="B86" s="18"/>
      <c r="C86" s="10"/>
      <c r="D86" s="10"/>
      <c r="E86" s="22" t="s">
        <v>80</v>
      </c>
      <c r="F86" s="12">
        <v>54399000</v>
      </c>
      <c r="G86" s="12">
        <v>28272459.93</v>
      </c>
      <c r="H86" s="12">
        <f t="shared" si="37"/>
        <v>26126540.07</v>
      </c>
      <c r="I86" s="13"/>
      <c r="J86" s="12"/>
      <c r="K86" s="12"/>
      <c r="L86" s="12">
        <f t="shared" si="38"/>
        <v>0</v>
      </c>
      <c r="M86" s="12"/>
      <c r="N86" s="12">
        <v>1101194.1299999999</v>
      </c>
      <c r="O86" s="12">
        <v>1101194.1299999999</v>
      </c>
      <c r="P86" s="12">
        <f t="shared" si="39"/>
        <v>0</v>
      </c>
      <c r="Q86" s="13"/>
      <c r="R86" s="12">
        <f t="shared" si="40"/>
        <v>55500194.130000003</v>
      </c>
      <c r="S86" s="12">
        <f t="shared" si="40"/>
        <v>29373654.059999999</v>
      </c>
      <c r="T86" s="14">
        <f>+R86-S86</f>
        <v>26126540.070000004</v>
      </c>
      <c r="U86" s="17">
        <f t="shared" si="30"/>
        <v>0.52925317686632023</v>
      </c>
    </row>
    <row r="87" spans="2:21" ht="27" customHeight="1">
      <c r="B87" s="18"/>
      <c r="C87" s="10"/>
      <c r="D87" s="10"/>
      <c r="E87" s="22" t="s">
        <v>81</v>
      </c>
      <c r="F87" s="12">
        <v>44561000</v>
      </c>
      <c r="G87" s="12">
        <v>20899446.84</v>
      </c>
      <c r="H87" s="12">
        <f t="shared" si="37"/>
        <v>23661553.16</v>
      </c>
      <c r="I87" s="13"/>
      <c r="J87" s="12"/>
      <c r="K87" s="12"/>
      <c r="L87" s="12">
        <f t="shared" si="38"/>
        <v>0</v>
      </c>
      <c r="M87" s="12"/>
      <c r="N87" s="12"/>
      <c r="O87" s="12"/>
      <c r="P87" s="12">
        <f t="shared" si="39"/>
        <v>0</v>
      </c>
      <c r="Q87" s="13"/>
      <c r="R87" s="12">
        <f t="shared" si="40"/>
        <v>44561000</v>
      </c>
      <c r="S87" s="12">
        <f t="shared" si="40"/>
        <v>20899446.84</v>
      </c>
      <c r="T87" s="14">
        <f>+R87-S87</f>
        <v>23661553.16</v>
      </c>
      <c r="U87" s="17">
        <f t="shared" si="30"/>
        <v>0.46900758151747041</v>
      </c>
    </row>
    <row r="88" spans="2:21" ht="27" customHeight="1">
      <c r="B88" s="18"/>
      <c r="C88" s="10"/>
      <c r="D88" s="10"/>
      <c r="E88" s="22" t="s">
        <v>82</v>
      </c>
      <c r="F88" s="12">
        <v>5821362</v>
      </c>
      <c r="G88" s="12">
        <v>4167776.9000000004</v>
      </c>
      <c r="H88" s="12">
        <f t="shared" si="37"/>
        <v>1653585.0999999996</v>
      </c>
      <c r="I88" s="13"/>
      <c r="J88" s="12"/>
      <c r="K88" s="12"/>
      <c r="L88" s="12">
        <f t="shared" si="38"/>
        <v>0</v>
      </c>
      <c r="M88" s="12"/>
      <c r="N88" s="12"/>
      <c r="O88" s="12"/>
      <c r="P88" s="12">
        <f t="shared" si="39"/>
        <v>0</v>
      </c>
      <c r="Q88" s="13"/>
      <c r="R88" s="12">
        <f t="shared" si="40"/>
        <v>5821362</v>
      </c>
      <c r="S88" s="12">
        <f t="shared" si="40"/>
        <v>4167776.9000000004</v>
      </c>
      <c r="T88" s="14">
        <f>+R88-S88</f>
        <v>1653585.0999999996</v>
      </c>
      <c r="U88" s="17">
        <f t="shared" si="30"/>
        <v>0.71594532344836148</v>
      </c>
    </row>
    <row r="89" spans="2:21" ht="27" customHeight="1">
      <c r="B89" s="18"/>
      <c r="C89" s="10"/>
      <c r="D89" s="10"/>
      <c r="E89" s="22" t="s">
        <v>83</v>
      </c>
      <c r="F89" s="12">
        <v>1909862</v>
      </c>
      <c r="G89" s="12">
        <v>1082196.8199999998</v>
      </c>
      <c r="H89" s="12">
        <f t="shared" si="37"/>
        <v>827665.18000000017</v>
      </c>
      <c r="I89" s="13"/>
      <c r="J89" s="12"/>
      <c r="K89" s="12"/>
      <c r="L89" s="12">
        <f t="shared" si="38"/>
        <v>0</v>
      </c>
      <c r="M89" s="12"/>
      <c r="N89" s="12"/>
      <c r="O89" s="12"/>
      <c r="P89" s="12">
        <f t="shared" si="39"/>
        <v>0</v>
      </c>
      <c r="Q89" s="13"/>
      <c r="R89" s="12">
        <f t="shared" si="40"/>
        <v>1909862</v>
      </c>
      <c r="S89" s="12">
        <f t="shared" si="40"/>
        <v>1082196.8199999998</v>
      </c>
      <c r="T89" s="14">
        <f>+R89-S89</f>
        <v>827665.18000000017</v>
      </c>
      <c r="U89" s="17">
        <f t="shared" si="30"/>
        <v>0.56663613391962342</v>
      </c>
    </row>
    <row r="90" spans="2:21" ht="24.95" customHeight="1">
      <c r="B90" s="18"/>
      <c r="C90" s="10"/>
      <c r="D90" s="10"/>
      <c r="E90" s="22"/>
      <c r="F90" s="12"/>
      <c r="G90" s="12"/>
      <c r="H90" s="12"/>
      <c r="I90" s="13"/>
      <c r="J90" s="12"/>
      <c r="K90" s="12"/>
      <c r="L90" s="12"/>
      <c r="M90" s="12"/>
      <c r="N90" s="12"/>
      <c r="O90" s="12"/>
      <c r="P90" s="12"/>
      <c r="Q90" s="13"/>
      <c r="R90" s="12"/>
      <c r="S90" s="12"/>
      <c r="T90" s="14"/>
      <c r="U90" s="17"/>
    </row>
    <row r="91" spans="2:21" ht="24.95" customHeight="1">
      <c r="B91" s="18"/>
      <c r="C91" s="20" t="s">
        <v>84</v>
      </c>
      <c r="D91" s="20"/>
      <c r="E91" s="10"/>
      <c r="F91" s="12"/>
      <c r="G91" s="12"/>
      <c r="H91" s="12"/>
      <c r="I91" s="13"/>
      <c r="J91" s="12"/>
      <c r="K91" s="12"/>
      <c r="L91" s="12"/>
      <c r="M91" s="12"/>
      <c r="N91" s="12"/>
      <c r="O91" s="12"/>
      <c r="P91" s="12"/>
      <c r="Q91" s="13"/>
      <c r="R91" s="12"/>
      <c r="S91" s="12"/>
      <c r="T91" s="14"/>
      <c r="U91" s="17"/>
    </row>
    <row r="92" spans="2:21" ht="24.95" customHeight="1">
      <c r="B92" s="18"/>
      <c r="C92" s="20"/>
      <c r="D92" s="20"/>
      <c r="E92" s="10" t="s">
        <v>85</v>
      </c>
      <c r="F92" s="12">
        <v>29228000</v>
      </c>
      <c r="G92" s="12">
        <v>22859758.050000001</v>
      </c>
      <c r="H92" s="12">
        <f t="shared" ref="H92:H98" si="41">+F92-G92</f>
        <v>6368241.9499999993</v>
      </c>
      <c r="I92" s="13"/>
      <c r="J92" s="12">
        <v>28000000</v>
      </c>
      <c r="K92" s="12">
        <v>28000000</v>
      </c>
      <c r="L92" s="12">
        <f t="shared" ref="L92:L98" si="42">+J92-K92</f>
        <v>0</v>
      </c>
      <c r="M92" s="12"/>
      <c r="N92" s="12">
        <v>2234405</v>
      </c>
      <c r="O92" s="12">
        <v>1682825.98</v>
      </c>
      <c r="P92" s="12">
        <f t="shared" ref="P92:P98" si="43">+N92-O92</f>
        <v>551579.02</v>
      </c>
      <c r="Q92" s="13"/>
      <c r="R92" s="12">
        <f t="shared" ref="R92:S97" si="44">+F92+J92+N92</f>
        <v>59462405</v>
      </c>
      <c r="S92" s="12">
        <f t="shared" si="44"/>
        <v>52542584.029999994</v>
      </c>
      <c r="T92" s="14">
        <f t="shared" ref="T92:T98" si="45">+R92-S92</f>
        <v>6919820.9700000063</v>
      </c>
      <c r="U92" s="17">
        <f t="shared" si="30"/>
        <v>0.88362695773909572</v>
      </c>
    </row>
    <row r="93" spans="2:21" ht="28.5" customHeight="1">
      <c r="B93" s="18"/>
      <c r="C93" s="10"/>
      <c r="D93" s="10"/>
      <c r="E93" s="22" t="s">
        <v>86</v>
      </c>
      <c r="F93" s="12">
        <v>50073000</v>
      </c>
      <c r="G93" s="12">
        <v>50072428.090000004</v>
      </c>
      <c r="H93" s="12">
        <f t="shared" si="41"/>
        <v>571.90999999642372</v>
      </c>
      <c r="I93" s="13"/>
      <c r="J93" s="12"/>
      <c r="K93" s="12"/>
      <c r="L93" s="12">
        <f t="shared" si="42"/>
        <v>0</v>
      </c>
      <c r="M93" s="12"/>
      <c r="N93" s="12"/>
      <c r="O93" s="12"/>
      <c r="P93" s="12">
        <f t="shared" si="43"/>
        <v>0</v>
      </c>
      <c r="Q93" s="13"/>
      <c r="R93" s="12">
        <f t="shared" si="44"/>
        <v>50073000</v>
      </c>
      <c r="S93" s="12">
        <f t="shared" si="44"/>
        <v>50072428.090000004</v>
      </c>
      <c r="T93" s="14">
        <f t="shared" si="45"/>
        <v>571.90999999642372</v>
      </c>
      <c r="U93" s="17">
        <f t="shared" si="30"/>
        <v>0.99998857847542599</v>
      </c>
    </row>
    <row r="94" spans="2:21" ht="28.5" customHeight="1">
      <c r="B94" s="18"/>
      <c r="C94" s="10"/>
      <c r="D94" s="10"/>
      <c r="E94" s="22" t="s">
        <v>87</v>
      </c>
      <c r="F94" s="12">
        <v>16614000</v>
      </c>
      <c r="G94" s="12">
        <v>16613067.76</v>
      </c>
      <c r="H94" s="12">
        <f t="shared" si="41"/>
        <v>932.24000000022352</v>
      </c>
      <c r="I94" s="13"/>
      <c r="J94" s="12">
        <v>6000000</v>
      </c>
      <c r="K94" s="12">
        <v>5999155.9199999999</v>
      </c>
      <c r="L94" s="12">
        <f t="shared" si="42"/>
        <v>844.08000000007451</v>
      </c>
      <c r="M94" s="12"/>
      <c r="N94" s="12"/>
      <c r="O94" s="12"/>
      <c r="P94" s="12">
        <f t="shared" si="43"/>
        <v>0</v>
      </c>
      <c r="Q94" s="13"/>
      <c r="R94" s="12">
        <f t="shared" si="44"/>
        <v>22614000</v>
      </c>
      <c r="S94" s="12">
        <f t="shared" si="44"/>
        <v>22612223.68</v>
      </c>
      <c r="T94" s="14">
        <f t="shared" si="45"/>
        <v>1776.320000000298</v>
      </c>
      <c r="U94" s="17">
        <f t="shared" si="30"/>
        <v>0.99992145042893776</v>
      </c>
    </row>
    <row r="95" spans="2:21" ht="28.5" customHeight="1">
      <c r="B95" s="18"/>
      <c r="C95" s="10"/>
      <c r="D95" s="10"/>
      <c r="E95" s="22" t="s">
        <v>88</v>
      </c>
      <c r="F95" s="12">
        <v>2471000</v>
      </c>
      <c r="G95" s="12">
        <v>1073241.3</v>
      </c>
      <c r="H95" s="12">
        <f t="shared" si="41"/>
        <v>1397758.7</v>
      </c>
      <c r="I95" s="13"/>
      <c r="J95" s="12"/>
      <c r="K95" s="12"/>
      <c r="L95" s="12">
        <f t="shared" si="42"/>
        <v>0</v>
      </c>
      <c r="M95" s="12"/>
      <c r="N95" s="12"/>
      <c r="O95" s="12"/>
      <c r="P95" s="12">
        <f t="shared" si="43"/>
        <v>0</v>
      </c>
      <c r="Q95" s="13"/>
      <c r="R95" s="12">
        <f t="shared" si="44"/>
        <v>2471000</v>
      </c>
      <c r="S95" s="12">
        <f t="shared" si="44"/>
        <v>1073241.3</v>
      </c>
      <c r="T95" s="14">
        <f t="shared" si="45"/>
        <v>1397758.7</v>
      </c>
      <c r="U95" s="17">
        <f t="shared" si="30"/>
        <v>0.434334803723189</v>
      </c>
    </row>
    <row r="96" spans="2:21" ht="24.95" customHeight="1">
      <c r="B96" s="18"/>
      <c r="C96" s="10"/>
      <c r="D96" s="10"/>
      <c r="E96" s="22" t="s">
        <v>89</v>
      </c>
      <c r="F96" s="12">
        <v>2945000</v>
      </c>
      <c r="G96" s="12">
        <v>2853719.64</v>
      </c>
      <c r="H96" s="12">
        <f t="shared" si="41"/>
        <v>91280.35999999987</v>
      </c>
      <c r="I96" s="13"/>
      <c r="J96" s="12"/>
      <c r="K96" s="12"/>
      <c r="L96" s="12">
        <f t="shared" si="42"/>
        <v>0</v>
      </c>
      <c r="M96" s="12"/>
      <c r="N96" s="12"/>
      <c r="O96" s="12"/>
      <c r="P96" s="12">
        <f t="shared" si="43"/>
        <v>0</v>
      </c>
      <c r="Q96" s="13"/>
      <c r="R96" s="12">
        <f t="shared" si="44"/>
        <v>2945000</v>
      </c>
      <c r="S96" s="12">
        <f t="shared" si="44"/>
        <v>2853719.64</v>
      </c>
      <c r="T96" s="14">
        <f t="shared" si="45"/>
        <v>91280.35999999987</v>
      </c>
      <c r="U96" s="17">
        <f t="shared" si="30"/>
        <v>0.96900497113752126</v>
      </c>
    </row>
    <row r="97" spans="2:25" ht="24.95" customHeight="1">
      <c r="B97" s="18"/>
      <c r="C97" s="10"/>
      <c r="D97" s="10"/>
      <c r="E97" s="28" t="s">
        <v>90</v>
      </c>
      <c r="F97" s="12">
        <v>11577000</v>
      </c>
      <c r="G97" s="12">
        <v>2903674.91</v>
      </c>
      <c r="H97" s="12">
        <f t="shared" si="41"/>
        <v>8673325.0899999999</v>
      </c>
      <c r="I97" s="13"/>
      <c r="J97" s="12"/>
      <c r="K97" s="12"/>
      <c r="L97" s="12">
        <f t="shared" si="42"/>
        <v>0</v>
      </c>
      <c r="M97" s="12"/>
      <c r="N97" s="12"/>
      <c r="O97" s="12"/>
      <c r="P97" s="12">
        <f t="shared" si="43"/>
        <v>0</v>
      </c>
      <c r="Q97" s="13"/>
      <c r="R97" s="12">
        <f t="shared" si="44"/>
        <v>11577000</v>
      </c>
      <c r="S97" s="12">
        <f t="shared" si="44"/>
        <v>2903674.91</v>
      </c>
      <c r="T97" s="14">
        <f t="shared" si="45"/>
        <v>8673325.0899999999</v>
      </c>
      <c r="U97" s="17">
        <f t="shared" si="30"/>
        <v>0.25081410641789759</v>
      </c>
    </row>
    <row r="98" spans="2:25" ht="28.5" customHeight="1">
      <c r="B98" s="18"/>
      <c r="C98" s="10"/>
      <c r="D98" s="10"/>
      <c r="E98" s="43" t="s">
        <v>91</v>
      </c>
      <c r="F98" s="12">
        <v>9830000</v>
      </c>
      <c r="G98" s="12">
        <v>3429870.61</v>
      </c>
      <c r="H98" s="12">
        <f t="shared" si="41"/>
        <v>6400129.3900000006</v>
      </c>
      <c r="I98" s="13"/>
      <c r="J98" s="12"/>
      <c r="K98" s="12"/>
      <c r="L98" s="12">
        <f t="shared" si="42"/>
        <v>0</v>
      </c>
      <c r="M98" s="12"/>
      <c r="N98" s="12"/>
      <c r="O98" s="12"/>
      <c r="P98" s="12">
        <f t="shared" si="43"/>
        <v>0</v>
      </c>
      <c r="Q98" s="13"/>
      <c r="R98" s="12">
        <f>+F98+J98+N98</f>
        <v>9830000</v>
      </c>
      <c r="S98" s="12">
        <f>+G98+K98+O98</f>
        <v>3429870.61</v>
      </c>
      <c r="T98" s="14">
        <f t="shared" si="45"/>
        <v>6400129.3900000006</v>
      </c>
      <c r="U98" s="17">
        <f t="shared" si="30"/>
        <v>0.34891867853509662</v>
      </c>
    </row>
    <row r="99" spans="2:25" ht="24.95" customHeight="1">
      <c r="B99" s="18"/>
      <c r="C99" s="10"/>
      <c r="D99" s="10"/>
      <c r="E99" s="43"/>
      <c r="F99" s="12"/>
      <c r="G99" s="12"/>
      <c r="H99" s="12"/>
      <c r="I99" s="13"/>
      <c r="J99" s="12"/>
      <c r="K99" s="12"/>
      <c r="L99" s="12"/>
      <c r="M99" s="12"/>
      <c r="N99" s="12"/>
      <c r="O99" s="12"/>
      <c r="P99" s="12"/>
      <c r="Q99" s="13"/>
      <c r="R99" s="12"/>
      <c r="S99" s="12">
        <f>+G99+K99+O99</f>
        <v>0</v>
      </c>
      <c r="T99" s="14"/>
      <c r="U99" s="17"/>
    </row>
    <row r="100" spans="2:25" ht="24.95" customHeight="1">
      <c r="B100" s="18"/>
      <c r="C100" s="20" t="s">
        <v>92</v>
      </c>
      <c r="D100" s="20"/>
      <c r="E100" s="10"/>
      <c r="F100" s="12"/>
      <c r="G100" s="12"/>
      <c r="H100" s="12"/>
      <c r="I100" s="13"/>
      <c r="J100" s="12"/>
      <c r="K100" s="12"/>
      <c r="L100" s="12"/>
      <c r="M100" s="12"/>
      <c r="N100" s="12"/>
      <c r="O100" s="12"/>
      <c r="P100" s="12"/>
      <c r="Q100" s="13"/>
      <c r="R100" s="12"/>
      <c r="S100" s="12"/>
      <c r="T100" s="14"/>
      <c r="U100" s="17"/>
    </row>
    <row r="101" spans="2:25" ht="24.95" customHeight="1">
      <c r="B101" s="18"/>
      <c r="C101" s="20"/>
      <c r="D101" s="20"/>
      <c r="E101" s="10" t="s">
        <v>93</v>
      </c>
      <c r="F101" s="12">
        <v>11860000</v>
      </c>
      <c r="G101" s="12">
        <v>11860000</v>
      </c>
      <c r="H101" s="12">
        <f>+F101-G101</f>
        <v>0</v>
      </c>
      <c r="I101" s="13"/>
      <c r="J101" s="12">
        <v>186657000</v>
      </c>
      <c r="K101" s="12">
        <v>38122040.579999998</v>
      </c>
      <c r="L101" s="12">
        <f>+J101-K101</f>
        <v>148534959.42000002</v>
      </c>
      <c r="M101" s="12"/>
      <c r="N101" s="12"/>
      <c r="O101" s="12"/>
      <c r="P101" s="12">
        <f>+N101-O101</f>
        <v>0</v>
      </c>
      <c r="Q101" s="13"/>
      <c r="R101" s="12">
        <f t="shared" ref="R101:S103" si="46">+F101+J101+N101</f>
        <v>198517000</v>
      </c>
      <c r="S101" s="12">
        <f t="shared" si="46"/>
        <v>49982040.579999998</v>
      </c>
      <c r="T101" s="14">
        <f>+R101-S101</f>
        <v>148534959.42000002</v>
      </c>
      <c r="U101" s="17">
        <f t="shared" si="30"/>
        <v>0.2517771303213327</v>
      </c>
    </row>
    <row r="102" spans="2:25" ht="29.25" customHeight="1">
      <c r="B102" s="18"/>
      <c r="C102" s="10"/>
      <c r="D102" s="10"/>
      <c r="E102" s="22" t="s">
        <v>94</v>
      </c>
      <c r="F102" s="12">
        <v>18369550</v>
      </c>
      <c r="G102" s="12">
        <v>10398612.790000001</v>
      </c>
      <c r="H102" s="12">
        <f>+F102-G102</f>
        <v>7970937.209999999</v>
      </c>
      <c r="I102" s="13"/>
      <c r="J102" s="12"/>
      <c r="K102" s="12">
        <v>1173585.71</v>
      </c>
      <c r="L102" s="12">
        <f>+J102-K102</f>
        <v>-1173585.71</v>
      </c>
      <c r="M102" s="12"/>
      <c r="N102" s="12"/>
      <c r="O102" s="12"/>
      <c r="P102" s="12">
        <f>+N102-O102</f>
        <v>0</v>
      </c>
      <c r="Q102" s="13"/>
      <c r="R102" s="12">
        <f t="shared" si="46"/>
        <v>18369550</v>
      </c>
      <c r="S102" s="12">
        <f t="shared" si="46"/>
        <v>11572198.5</v>
      </c>
      <c r="T102" s="14">
        <f>+R102-S102</f>
        <v>6797351.5</v>
      </c>
      <c r="U102" s="17">
        <f t="shared" si="30"/>
        <v>0.62996635736858009</v>
      </c>
    </row>
    <row r="103" spans="2:25" ht="29.25" customHeight="1">
      <c r="B103" s="18"/>
      <c r="C103" s="10"/>
      <c r="D103" s="10"/>
      <c r="E103" s="22" t="s">
        <v>95</v>
      </c>
      <c r="F103" s="12">
        <v>1637000</v>
      </c>
      <c r="G103" s="12">
        <v>1587844.99</v>
      </c>
      <c r="H103" s="12">
        <f>+F103-G103</f>
        <v>49155.010000000009</v>
      </c>
      <c r="I103" s="13"/>
      <c r="J103" s="12"/>
      <c r="K103" s="12"/>
      <c r="L103" s="12">
        <f>+J103-K103</f>
        <v>0</v>
      </c>
      <c r="M103" s="12"/>
      <c r="N103" s="12"/>
      <c r="O103" s="12"/>
      <c r="P103" s="12">
        <f>+N103-O103</f>
        <v>0</v>
      </c>
      <c r="Q103" s="13"/>
      <c r="R103" s="12">
        <f t="shared" si="46"/>
        <v>1637000</v>
      </c>
      <c r="S103" s="12">
        <f t="shared" si="46"/>
        <v>1587844.99</v>
      </c>
      <c r="T103" s="14">
        <f>+R103-S103</f>
        <v>49155.010000000009</v>
      </c>
      <c r="U103" s="17">
        <f t="shared" si="30"/>
        <v>0.9699725045815516</v>
      </c>
    </row>
    <row r="104" spans="2:25" ht="27.75" customHeight="1">
      <c r="B104" s="18"/>
      <c r="C104" s="10"/>
      <c r="D104" s="10"/>
      <c r="E104" s="31" t="s">
        <v>51</v>
      </c>
      <c r="F104" s="32">
        <f>SUM(F85:F103)</f>
        <v>325956774</v>
      </c>
      <c r="G104" s="32">
        <f t="shared" ref="G104:S104" si="47">SUM(G85:G103)</f>
        <v>206485767.31999999</v>
      </c>
      <c r="H104" s="32">
        <f t="shared" si="47"/>
        <v>119471006.68000001</v>
      </c>
      <c r="I104" s="32">
        <f t="shared" si="47"/>
        <v>0</v>
      </c>
      <c r="J104" s="32">
        <f>SUM(J85:J103)</f>
        <v>220657000</v>
      </c>
      <c r="K104" s="32">
        <f t="shared" ref="K104" si="48">SUM(K85:K103)</f>
        <v>73294782.209999993</v>
      </c>
      <c r="L104" s="32">
        <f>SUM(L85:L103)</f>
        <v>147362217.79000002</v>
      </c>
      <c r="M104" s="32">
        <f t="shared" si="47"/>
        <v>0</v>
      </c>
      <c r="N104" s="32">
        <f>SUM(N85:N103)</f>
        <v>3335599.13</v>
      </c>
      <c r="O104" s="32">
        <f t="shared" ref="O104" si="49">SUM(O85:O103)</f>
        <v>8758912.3499999996</v>
      </c>
      <c r="P104" s="32">
        <f>SUM(P85:P103)</f>
        <v>-5423313.2200000007</v>
      </c>
      <c r="Q104" s="32">
        <f t="shared" si="47"/>
        <v>0</v>
      </c>
      <c r="R104" s="32">
        <f t="shared" si="47"/>
        <v>549949373.13</v>
      </c>
      <c r="S104" s="32">
        <f t="shared" si="47"/>
        <v>288539461.88</v>
      </c>
      <c r="T104" s="34">
        <f>SUM(T85:T103)</f>
        <v>261409911.25</v>
      </c>
      <c r="U104" s="17">
        <f t="shared" si="30"/>
        <v>0.5246654982763177</v>
      </c>
    </row>
    <row r="105" spans="2:25" ht="24.95" customHeight="1">
      <c r="B105" s="18"/>
      <c r="C105" s="10"/>
      <c r="D105" s="10"/>
      <c r="E105" s="22"/>
      <c r="F105" s="12"/>
      <c r="G105" s="12"/>
      <c r="H105" s="12"/>
      <c r="I105" s="13"/>
      <c r="J105" s="12"/>
      <c r="K105" s="12"/>
      <c r="L105" s="12"/>
      <c r="M105" s="12"/>
      <c r="N105" s="12"/>
      <c r="O105" s="12"/>
      <c r="P105" s="12"/>
      <c r="Q105" s="13"/>
      <c r="R105" s="12"/>
      <c r="S105" s="12"/>
      <c r="T105" s="14"/>
      <c r="U105" s="17"/>
      <c r="Y105" s="2" t="s">
        <v>96</v>
      </c>
    </row>
    <row r="106" spans="2:25" ht="24.95" customHeight="1">
      <c r="B106" s="18"/>
      <c r="C106" s="24" t="s">
        <v>97</v>
      </c>
      <c r="D106" s="10"/>
      <c r="E106" s="22"/>
      <c r="F106" s="12">
        <f>SUM(F108:F136)</f>
        <v>682757871.21000004</v>
      </c>
      <c r="G106" s="12">
        <f>SUM(G108:G136)</f>
        <v>321301784.99000013</v>
      </c>
      <c r="H106" s="12">
        <f t="shared" ref="H106:T106" si="50">SUM(H108:H136)</f>
        <v>361456086.21999991</v>
      </c>
      <c r="I106" s="12">
        <f t="shared" si="50"/>
        <v>0</v>
      </c>
      <c r="J106" s="12">
        <f>SUM(J108:J136)</f>
        <v>143947418</v>
      </c>
      <c r="K106" s="12">
        <f>SUM(K108:K136)</f>
        <v>25100696.900000002</v>
      </c>
      <c r="L106" s="12">
        <f>SUM(L108:L136)</f>
        <v>118846721.10000001</v>
      </c>
      <c r="M106" s="12">
        <f t="shared" si="50"/>
        <v>0</v>
      </c>
      <c r="N106" s="12">
        <f>SUM(N108:N136)</f>
        <v>18217006</v>
      </c>
      <c r="O106" s="12">
        <f>SUM(O108:O136)</f>
        <v>2731576.09</v>
      </c>
      <c r="P106" s="12">
        <f>SUM(P108:P136)</f>
        <v>15485429.91</v>
      </c>
      <c r="Q106" s="12">
        <f t="shared" si="50"/>
        <v>0</v>
      </c>
      <c r="R106" s="12">
        <f t="shared" si="50"/>
        <v>844922295.21000004</v>
      </c>
      <c r="S106" s="12">
        <f t="shared" si="50"/>
        <v>349134057.98000014</v>
      </c>
      <c r="T106" s="14">
        <f t="shared" si="50"/>
        <v>495788237.2299999</v>
      </c>
      <c r="U106" s="17">
        <f>+S106/R106</f>
        <v>0.41321439848291031</v>
      </c>
    </row>
    <row r="107" spans="2:25" ht="24.95" customHeight="1">
      <c r="B107" s="18"/>
      <c r="C107" s="20" t="s">
        <v>98</v>
      </c>
      <c r="D107" s="20"/>
      <c r="E107" s="10"/>
      <c r="F107" s="12"/>
      <c r="G107" s="12"/>
      <c r="H107" s="12">
        <f t="shared" ref="H107:H115" si="51">+F107-G107</f>
        <v>0</v>
      </c>
      <c r="I107" s="13"/>
      <c r="J107" s="12"/>
      <c r="K107" s="12"/>
      <c r="L107" s="12">
        <f t="shared" ref="L107:L115" si="52">+J107-K107</f>
        <v>0</v>
      </c>
      <c r="M107" s="12"/>
      <c r="N107" s="12"/>
      <c r="O107" s="12"/>
      <c r="P107" s="12">
        <f t="shared" ref="P107:P115" si="53">+N107-O107</f>
        <v>0</v>
      </c>
      <c r="Q107" s="13"/>
      <c r="R107" s="12"/>
      <c r="S107" s="12"/>
      <c r="T107" s="14"/>
      <c r="U107" s="17"/>
    </row>
    <row r="108" spans="2:25" ht="24.95" customHeight="1">
      <c r="B108" s="18"/>
      <c r="C108" s="20"/>
      <c r="D108" s="20"/>
      <c r="E108" s="10" t="s">
        <v>99</v>
      </c>
      <c r="F108" s="12">
        <v>37877000</v>
      </c>
      <c r="G108" s="12">
        <v>37667700.030000016</v>
      </c>
      <c r="H108" s="12">
        <f t="shared" si="51"/>
        <v>209299.96999998391</v>
      </c>
      <c r="I108" s="13"/>
      <c r="J108" s="12">
        <v>53308000</v>
      </c>
      <c r="K108" s="12">
        <v>10931601.550000001</v>
      </c>
      <c r="L108" s="12">
        <f t="shared" si="52"/>
        <v>42376398.450000003</v>
      </c>
      <c r="M108" s="12"/>
      <c r="N108" s="12">
        <v>2587238</v>
      </c>
      <c r="O108" s="12">
        <v>2563322</v>
      </c>
      <c r="P108" s="12">
        <f t="shared" si="53"/>
        <v>23916</v>
      </c>
      <c r="Q108" s="13"/>
      <c r="R108" s="12">
        <f t="shared" ref="R108:S115" si="54">+F108+J108+N108</f>
        <v>93772238</v>
      </c>
      <c r="S108" s="12">
        <f t="shared" si="54"/>
        <v>51162623.580000013</v>
      </c>
      <c r="T108" s="14">
        <f t="shared" ref="T108:T115" si="55">+R108-S108</f>
        <v>42609614.419999987</v>
      </c>
      <c r="U108" s="17">
        <f t="shared" si="30"/>
        <v>0.5456052310493007</v>
      </c>
    </row>
    <row r="109" spans="2:25" ht="27" customHeight="1">
      <c r="B109" s="18"/>
      <c r="C109" s="10"/>
      <c r="D109" s="10"/>
      <c r="E109" s="22" t="s">
        <v>100</v>
      </c>
      <c r="F109" s="12">
        <v>23029649</v>
      </c>
      <c r="G109" s="12">
        <v>20801040.23</v>
      </c>
      <c r="H109" s="12">
        <f t="shared" si="51"/>
        <v>2228608.7699999996</v>
      </c>
      <c r="I109" s="13"/>
      <c r="J109" s="12"/>
      <c r="K109" s="12"/>
      <c r="L109" s="12">
        <f t="shared" si="52"/>
        <v>0</v>
      </c>
      <c r="M109" s="12"/>
      <c r="N109" s="12"/>
      <c r="O109" s="12"/>
      <c r="P109" s="12">
        <f t="shared" si="53"/>
        <v>0</v>
      </c>
      <c r="Q109" s="13"/>
      <c r="R109" s="12">
        <f t="shared" si="54"/>
        <v>23029649</v>
      </c>
      <c r="S109" s="12">
        <f t="shared" si="54"/>
        <v>20801040.23</v>
      </c>
      <c r="T109" s="14">
        <f t="shared" si="55"/>
        <v>2228608.7699999996</v>
      </c>
      <c r="U109" s="17">
        <f t="shared" si="30"/>
        <v>0.90322871312541497</v>
      </c>
    </row>
    <row r="110" spans="2:25" ht="27" customHeight="1">
      <c r="B110" s="18"/>
      <c r="C110" s="10"/>
      <c r="D110" s="10"/>
      <c r="E110" s="22" t="s">
        <v>101</v>
      </c>
      <c r="F110" s="12">
        <v>4407000</v>
      </c>
      <c r="G110" s="12">
        <v>3119291.4</v>
      </c>
      <c r="H110" s="12">
        <f t="shared" si="51"/>
        <v>1287708.6000000001</v>
      </c>
      <c r="I110" s="13"/>
      <c r="J110" s="12"/>
      <c r="K110" s="12"/>
      <c r="L110" s="12">
        <f t="shared" si="52"/>
        <v>0</v>
      </c>
      <c r="M110" s="12"/>
      <c r="N110" s="12"/>
      <c r="O110" s="12"/>
      <c r="P110" s="12">
        <f t="shared" si="53"/>
        <v>0</v>
      </c>
      <c r="Q110" s="13"/>
      <c r="R110" s="12">
        <f t="shared" si="54"/>
        <v>4407000</v>
      </c>
      <c r="S110" s="12">
        <f t="shared" si="54"/>
        <v>3119291.4</v>
      </c>
      <c r="T110" s="14">
        <f t="shared" si="55"/>
        <v>1287708.6000000001</v>
      </c>
      <c r="U110" s="17">
        <f t="shared" si="30"/>
        <v>0.70780381211708643</v>
      </c>
    </row>
    <row r="111" spans="2:25" ht="29.25" customHeight="1">
      <c r="B111" s="18"/>
      <c r="C111" s="10"/>
      <c r="D111" s="10"/>
      <c r="E111" s="22" t="s">
        <v>102</v>
      </c>
      <c r="F111" s="12">
        <v>3319000</v>
      </c>
      <c r="G111" s="12">
        <v>1553001.5500000003</v>
      </c>
      <c r="H111" s="12">
        <f t="shared" si="51"/>
        <v>1765998.4499999997</v>
      </c>
      <c r="I111" s="13"/>
      <c r="J111" s="12"/>
      <c r="K111" s="12"/>
      <c r="L111" s="12">
        <f t="shared" si="52"/>
        <v>0</v>
      </c>
      <c r="M111" s="12"/>
      <c r="N111" s="12"/>
      <c r="O111" s="12"/>
      <c r="P111" s="12">
        <f t="shared" si="53"/>
        <v>0</v>
      </c>
      <c r="Q111" s="13"/>
      <c r="R111" s="12">
        <f t="shared" si="54"/>
        <v>3319000</v>
      </c>
      <c r="S111" s="12">
        <f t="shared" si="54"/>
        <v>1553001.5500000003</v>
      </c>
      <c r="T111" s="14">
        <f t="shared" si="55"/>
        <v>1765998.4499999997</v>
      </c>
      <c r="U111" s="17">
        <f t="shared" si="30"/>
        <v>0.46791248870141616</v>
      </c>
    </row>
    <row r="112" spans="2:25" ht="24.95" customHeight="1">
      <c r="B112" s="18"/>
      <c r="C112" s="10"/>
      <c r="D112" s="10"/>
      <c r="E112" s="28" t="s">
        <v>103</v>
      </c>
      <c r="F112" s="12">
        <v>894000</v>
      </c>
      <c r="G112" s="12">
        <v>487194.5</v>
      </c>
      <c r="H112" s="12">
        <f t="shared" si="51"/>
        <v>406805.5</v>
      </c>
      <c r="I112" s="13"/>
      <c r="J112" s="12"/>
      <c r="K112" s="12"/>
      <c r="L112" s="12">
        <f t="shared" si="52"/>
        <v>0</v>
      </c>
      <c r="M112" s="12"/>
      <c r="N112" s="12"/>
      <c r="O112" s="12"/>
      <c r="P112" s="12">
        <f t="shared" si="53"/>
        <v>0</v>
      </c>
      <c r="Q112" s="13"/>
      <c r="R112" s="12">
        <f t="shared" si="54"/>
        <v>894000</v>
      </c>
      <c r="S112" s="12">
        <f t="shared" si="54"/>
        <v>487194.5</v>
      </c>
      <c r="T112" s="14">
        <f t="shared" si="55"/>
        <v>406805.5</v>
      </c>
      <c r="U112" s="17">
        <f t="shared" si="30"/>
        <v>0.54496029082774045</v>
      </c>
    </row>
    <row r="113" spans="2:22" ht="24.95" customHeight="1">
      <c r="B113" s="18"/>
      <c r="C113" s="10"/>
      <c r="D113" s="10"/>
      <c r="E113" s="22" t="s">
        <v>104</v>
      </c>
      <c r="F113" s="12">
        <v>3200000</v>
      </c>
      <c r="G113" s="12">
        <v>2528643.8000000003</v>
      </c>
      <c r="H113" s="12">
        <f t="shared" si="51"/>
        <v>671356.19999999972</v>
      </c>
      <c r="I113" s="13"/>
      <c r="J113" s="12"/>
      <c r="K113" s="12"/>
      <c r="L113" s="12">
        <f t="shared" si="52"/>
        <v>0</v>
      </c>
      <c r="M113" s="12"/>
      <c r="N113" s="12"/>
      <c r="O113" s="12"/>
      <c r="P113" s="12">
        <f t="shared" si="53"/>
        <v>0</v>
      </c>
      <c r="Q113" s="13"/>
      <c r="R113" s="12">
        <f t="shared" si="54"/>
        <v>3200000</v>
      </c>
      <c r="S113" s="12">
        <f t="shared" si="54"/>
        <v>2528643.8000000003</v>
      </c>
      <c r="T113" s="14">
        <f t="shared" si="55"/>
        <v>671356.19999999972</v>
      </c>
      <c r="U113" s="17">
        <f t="shared" si="30"/>
        <v>0.79020118750000012</v>
      </c>
    </row>
    <row r="114" spans="2:22" ht="29.25" customHeight="1">
      <c r="B114" s="18"/>
      <c r="C114" s="10"/>
      <c r="D114" s="10"/>
      <c r="E114" s="22" t="s">
        <v>105</v>
      </c>
      <c r="F114" s="12">
        <v>12700000</v>
      </c>
      <c r="G114" s="12">
        <v>11199280.359999999</v>
      </c>
      <c r="H114" s="12">
        <f t="shared" si="51"/>
        <v>1500719.6400000006</v>
      </c>
      <c r="I114" s="13"/>
      <c r="J114" s="12"/>
      <c r="K114" s="12"/>
      <c r="L114" s="12">
        <f t="shared" si="52"/>
        <v>0</v>
      </c>
      <c r="M114" s="12"/>
      <c r="N114" s="12"/>
      <c r="O114" s="12"/>
      <c r="P114" s="12">
        <f t="shared" si="53"/>
        <v>0</v>
      </c>
      <c r="Q114" s="13"/>
      <c r="R114" s="12">
        <f t="shared" si="54"/>
        <v>12700000</v>
      </c>
      <c r="S114" s="12">
        <f t="shared" si="54"/>
        <v>11199280.359999999</v>
      </c>
      <c r="T114" s="14">
        <f t="shared" si="55"/>
        <v>1500719.6400000006</v>
      </c>
      <c r="U114" s="17">
        <f t="shared" si="30"/>
        <v>0.88183309921259834</v>
      </c>
    </row>
    <row r="115" spans="2:22" ht="29.25" customHeight="1">
      <c r="B115" s="18"/>
      <c r="C115" s="10"/>
      <c r="D115" s="10"/>
      <c r="E115" s="21" t="s">
        <v>106</v>
      </c>
      <c r="F115" s="12">
        <v>25639000</v>
      </c>
      <c r="G115" s="12">
        <v>3344903.16</v>
      </c>
      <c r="H115" s="12">
        <f t="shared" si="51"/>
        <v>22294096.84</v>
      </c>
      <c r="I115" s="13"/>
      <c r="J115" s="12"/>
      <c r="K115" s="12"/>
      <c r="L115" s="12">
        <f t="shared" si="52"/>
        <v>0</v>
      </c>
      <c r="M115" s="12"/>
      <c r="N115" s="12"/>
      <c r="O115" s="12"/>
      <c r="P115" s="12">
        <f t="shared" si="53"/>
        <v>0</v>
      </c>
      <c r="Q115" s="13"/>
      <c r="R115" s="12">
        <f t="shared" si="54"/>
        <v>25639000</v>
      </c>
      <c r="S115" s="12">
        <f t="shared" si="54"/>
        <v>3344903.16</v>
      </c>
      <c r="T115" s="14">
        <f t="shared" si="55"/>
        <v>22294096.84</v>
      </c>
      <c r="U115" s="17">
        <f t="shared" si="30"/>
        <v>0.13046152970084637</v>
      </c>
    </row>
    <row r="116" spans="2:22" ht="24.95" customHeight="1">
      <c r="B116" s="18"/>
      <c r="C116" s="10"/>
      <c r="D116" s="10"/>
      <c r="E116" s="28"/>
      <c r="F116" s="12"/>
      <c r="G116" s="12"/>
      <c r="H116" s="12"/>
      <c r="I116" s="13"/>
      <c r="J116" s="12"/>
      <c r="K116" s="12"/>
      <c r="L116" s="12"/>
      <c r="M116" s="12"/>
      <c r="N116" s="12"/>
      <c r="O116" s="12"/>
      <c r="P116" s="12"/>
      <c r="Q116" s="13"/>
      <c r="R116" s="12"/>
      <c r="S116" s="12"/>
      <c r="T116" s="14"/>
      <c r="U116" s="17"/>
    </row>
    <row r="117" spans="2:22" ht="24.95" customHeight="1">
      <c r="B117" s="18"/>
      <c r="C117" s="20" t="s">
        <v>107</v>
      </c>
      <c r="D117" s="20"/>
      <c r="E117" s="10"/>
      <c r="F117" s="12"/>
      <c r="G117" s="12"/>
      <c r="H117" s="12"/>
      <c r="I117" s="13"/>
      <c r="J117" s="12"/>
      <c r="K117" s="12"/>
      <c r="L117" s="12"/>
      <c r="M117" s="12"/>
      <c r="N117" s="12"/>
      <c r="O117" s="12"/>
      <c r="P117" s="12"/>
      <c r="Q117" s="13"/>
      <c r="R117" s="12"/>
      <c r="S117" s="12"/>
      <c r="T117" s="14"/>
      <c r="U117" s="17"/>
    </row>
    <row r="118" spans="2:22" ht="24.95" customHeight="1">
      <c r="B118" s="18"/>
      <c r="C118" s="20"/>
      <c r="D118" s="20"/>
      <c r="E118" s="10" t="s">
        <v>108</v>
      </c>
      <c r="F118" s="12">
        <v>54297000</v>
      </c>
      <c r="G118" s="12">
        <v>14553136.51</v>
      </c>
      <c r="H118" s="12">
        <f>+F118-G118</f>
        <v>39743863.490000002</v>
      </c>
      <c r="I118" s="13"/>
      <c r="J118" s="12"/>
      <c r="K118" s="12"/>
      <c r="L118" s="12">
        <f>+J118-K118</f>
        <v>0</v>
      </c>
      <c r="M118" s="12"/>
      <c r="N118" s="12"/>
      <c r="O118" s="12"/>
      <c r="P118" s="12">
        <f>+N118-O118</f>
        <v>0</v>
      </c>
      <c r="Q118" s="13"/>
      <c r="R118" s="12">
        <f t="shared" ref="R118:S121" si="56">+F118+J118+N118</f>
        <v>54297000</v>
      </c>
      <c r="S118" s="12">
        <f t="shared" si="56"/>
        <v>14553136.51</v>
      </c>
      <c r="T118" s="14">
        <f>+R118-S118</f>
        <v>39743863.490000002</v>
      </c>
      <c r="U118" s="17">
        <f t="shared" si="30"/>
        <v>0.26802837191741719</v>
      </c>
    </row>
    <row r="119" spans="2:22" ht="28.5" customHeight="1">
      <c r="B119" s="18"/>
      <c r="C119" s="10"/>
      <c r="D119" s="10"/>
      <c r="E119" s="21" t="s">
        <v>109</v>
      </c>
      <c r="F119" s="12">
        <v>55331000</v>
      </c>
      <c r="G119" s="12">
        <v>17737349.84</v>
      </c>
      <c r="H119" s="12">
        <f>+F119-G119</f>
        <v>37593650.159999996</v>
      </c>
      <c r="I119" s="13"/>
      <c r="J119" s="12"/>
      <c r="K119" s="12"/>
      <c r="L119" s="12">
        <f>+J119-K119</f>
        <v>0</v>
      </c>
      <c r="M119" s="12"/>
      <c r="N119" s="12"/>
      <c r="O119" s="12"/>
      <c r="P119" s="12">
        <f>+N119-O119</f>
        <v>0</v>
      </c>
      <c r="Q119" s="13"/>
      <c r="R119" s="12">
        <f t="shared" si="56"/>
        <v>55331000</v>
      </c>
      <c r="S119" s="12">
        <f t="shared" si="56"/>
        <v>17737349.84</v>
      </c>
      <c r="T119" s="14">
        <f>+R119-S119</f>
        <v>37593650.159999996</v>
      </c>
      <c r="U119" s="17">
        <f t="shared" si="30"/>
        <v>0.32056803310982995</v>
      </c>
    </row>
    <row r="120" spans="2:22" ht="28.5" customHeight="1">
      <c r="B120" s="18"/>
      <c r="C120" s="10"/>
      <c r="D120" s="10"/>
      <c r="E120" s="21" t="s">
        <v>110</v>
      </c>
      <c r="F120" s="12">
        <v>23318000</v>
      </c>
      <c r="G120" s="12">
        <v>9111184.5500000007</v>
      </c>
      <c r="H120" s="12">
        <f>+F120-G120</f>
        <v>14206815.449999999</v>
      </c>
      <c r="I120" s="13"/>
      <c r="J120" s="12"/>
      <c r="K120" s="12"/>
      <c r="L120" s="12">
        <f>+J120-K120</f>
        <v>0</v>
      </c>
      <c r="M120" s="12"/>
      <c r="N120" s="12"/>
      <c r="O120" s="12"/>
      <c r="P120" s="12">
        <f>+N120-O120</f>
        <v>0</v>
      </c>
      <c r="Q120" s="13"/>
      <c r="R120" s="12">
        <f t="shared" si="56"/>
        <v>23318000</v>
      </c>
      <c r="S120" s="12">
        <f t="shared" si="56"/>
        <v>9111184.5500000007</v>
      </c>
      <c r="T120" s="14">
        <f>+R120-S120</f>
        <v>14206815.449999999</v>
      </c>
      <c r="U120" s="17">
        <f t="shared" si="30"/>
        <v>0.39073610729908231</v>
      </c>
    </row>
    <row r="121" spans="2:22" ht="28.5" customHeight="1">
      <c r="B121" s="18"/>
      <c r="C121" s="10"/>
      <c r="D121" s="10"/>
      <c r="E121" s="22" t="s">
        <v>111</v>
      </c>
      <c r="F121" s="12">
        <v>10994000</v>
      </c>
      <c r="G121" s="12">
        <v>8619888.0099999998</v>
      </c>
      <c r="H121" s="12">
        <f>+F121-G121</f>
        <v>2374111.9900000002</v>
      </c>
      <c r="I121" s="13"/>
      <c r="J121" s="12">
        <v>4000000</v>
      </c>
      <c r="K121" s="12"/>
      <c r="L121" s="12">
        <f>+J121-K121</f>
        <v>4000000</v>
      </c>
      <c r="M121" s="12"/>
      <c r="N121" s="12"/>
      <c r="O121" s="12"/>
      <c r="P121" s="12">
        <f>+N121-O121</f>
        <v>0</v>
      </c>
      <c r="Q121" s="13"/>
      <c r="R121" s="12">
        <f t="shared" si="56"/>
        <v>14994000</v>
      </c>
      <c r="S121" s="12">
        <f t="shared" si="56"/>
        <v>8619888.0099999998</v>
      </c>
      <c r="T121" s="14">
        <f>+R121-S121</f>
        <v>6374111.9900000002</v>
      </c>
      <c r="U121" s="17">
        <f t="shared" si="30"/>
        <v>0.57488915632919835</v>
      </c>
    </row>
    <row r="122" spans="2:22" ht="24.95" customHeight="1">
      <c r="B122" s="18"/>
      <c r="C122" s="10"/>
      <c r="D122" s="10"/>
      <c r="E122" s="22"/>
      <c r="F122" s="12"/>
      <c r="G122" s="12"/>
      <c r="H122" s="12"/>
      <c r="I122" s="13"/>
      <c r="J122" s="12"/>
      <c r="K122" s="12"/>
      <c r="L122" s="12"/>
      <c r="M122" s="12"/>
      <c r="N122" s="12"/>
      <c r="O122" s="12"/>
      <c r="P122" s="12"/>
      <c r="Q122" s="13"/>
      <c r="R122" s="12"/>
      <c r="S122" s="12"/>
      <c r="T122" s="14"/>
      <c r="U122" s="17"/>
    </row>
    <row r="123" spans="2:22" ht="24.95" customHeight="1">
      <c r="B123" s="18"/>
      <c r="C123" s="20" t="s">
        <v>112</v>
      </c>
      <c r="D123" s="20"/>
      <c r="E123" s="10"/>
      <c r="F123" s="12"/>
      <c r="G123" s="12"/>
      <c r="H123" s="12"/>
      <c r="I123" s="13"/>
      <c r="J123" s="12"/>
      <c r="K123" s="12"/>
      <c r="L123" s="12"/>
      <c r="M123" s="12"/>
      <c r="N123" s="12"/>
      <c r="O123" s="12"/>
      <c r="P123" s="12"/>
      <c r="Q123" s="13"/>
      <c r="R123" s="12"/>
      <c r="S123" s="12"/>
      <c r="T123" s="14"/>
      <c r="U123" s="17"/>
    </row>
    <row r="124" spans="2:22" ht="24.95" customHeight="1">
      <c r="B124" s="18"/>
      <c r="C124" s="20"/>
      <c r="D124" s="20"/>
      <c r="E124" s="10" t="s">
        <v>113</v>
      </c>
      <c r="F124" s="12">
        <v>26319000</v>
      </c>
      <c r="G124" s="12">
        <v>28785624.859999999</v>
      </c>
      <c r="H124" s="12">
        <f>+F124-G124</f>
        <v>-2466624.8599999994</v>
      </c>
      <c r="I124" s="13"/>
      <c r="J124" s="12">
        <v>45345000</v>
      </c>
      <c r="K124" s="12">
        <v>10274133.870000001</v>
      </c>
      <c r="L124" s="12">
        <f>+J124-K124</f>
        <v>35070866.129999995</v>
      </c>
      <c r="M124" s="12"/>
      <c r="N124" s="12"/>
      <c r="O124" s="12"/>
      <c r="P124" s="12">
        <f>+N124-O124</f>
        <v>0</v>
      </c>
      <c r="Q124" s="13"/>
      <c r="R124" s="12">
        <f t="shared" ref="R124:S126" si="57">+F124+J124+N124</f>
        <v>71664000</v>
      </c>
      <c r="S124" s="12">
        <f t="shared" si="57"/>
        <v>39059758.730000004</v>
      </c>
      <c r="T124" s="14">
        <f>+R124-S124</f>
        <v>32604241.269999996</v>
      </c>
      <c r="U124" s="17">
        <f t="shared" si="30"/>
        <v>0.54504016982027248</v>
      </c>
      <c r="V124" s="2" t="s">
        <v>298</v>
      </c>
    </row>
    <row r="125" spans="2:22" ht="24.95" customHeight="1">
      <c r="B125" s="18"/>
      <c r="C125" s="10"/>
      <c r="D125" s="10"/>
      <c r="E125" s="22" t="s">
        <v>115</v>
      </c>
      <c r="F125" s="12">
        <v>82478611.209999993</v>
      </c>
      <c r="G125" s="12">
        <v>53743834.859999999</v>
      </c>
      <c r="H125" s="12">
        <f>+F125-G125</f>
        <v>28734776.349999994</v>
      </c>
      <c r="I125" s="13"/>
      <c r="J125" s="12"/>
      <c r="K125" s="12"/>
      <c r="L125" s="12">
        <f>+J125-K125</f>
        <v>0</v>
      </c>
      <c r="M125" s="12"/>
      <c r="N125" s="12">
        <v>15629768</v>
      </c>
      <c r="O125" s="12">
        <v>168254.09</v>
      </c>
      <c r="P125" s="12">
        <f>+N125-O125</f>
        <v>15461513.91</v>
      </c>
      <c r="Q125" s="13"/>
      <c r="R125" s="12">
        <f t="shared" si="57"/>
        <v>98108379.209999993</v>
      </c>
      <c r="S125" s="12">
        <f t="shared" si="57"/>
        <v>53912088.950000003</v>
      </c>
      <c r="T125" s="14">
        <f>+R125-S125</f>
        <v>44196290.25999999</v>
      </c>
      <c r="U125" s="17">
        <f t="shared" si="30"/>
        <v>0.54951564162120869</v>
      </c>
    </row>
    <row r="126" spans="2:22" ht="28.5" customHeight="1">
      <c r="B126" s="18"/>
      <c r="C126" s="10"/>
      <c r="D126" s="10"/>
      <c r="E126" s="22" t="s">
        <v>116</v>
      </c>
      <c r="F126" s="12">
        <v>55503000</v>
      </c>
      <c r="G126" s="12">
        <v>23710999.02</v>
      </c>
      <c r="H126" s="12">
        <f>+F126-G126</f>
        <v>31792000.98</v>
      </c>
      <c r="I126" s="13"/>
      <c r="J126" s="12"/>
      <c r="K126" s="12"/>
      <c r="L126" s="12">
        <f>+J126-K126</f>
        <v>0</v>
      </c>
      <c r="M126" s="12"/>
      <c r="N126" s="12"/>
      <c r="O126" s="12"/>
      <c r="P126" s="12">
        <f>+N126-O126</f>
        <v>0</v>
      </c>
      <c r="Q126" s="13"/>
      <c r="R126" s="12">
        <f t="shared" si="57"/>
        <v>55503000</v>
      </c>
      <c r="S126" s="12">
        <f t="shared" si="57"/>
        <v>23710999.02</v>
      </c>
      <c r="T126" s="14">
        <f>+R126-S126</f>
        <v>31792000.98</v>
      </c>
      <c r="U126" s="17">
        <f t="shared" si="30"/>
        <v>0.42720211556132098</v>
      </c>
    </row>
    <row r="127" spans="2:22" ht="24.95" customHeight="1">
      <c r="B127" s="18"/>
      <c r="C127" s="10"/>
      <c r="D127" s="10"/>
      <c r="E127" s="22"/>
      <c r="F127" s="12"/>
      <c r="G127" s="12"/>
      <c r="H127" s="12"/>
      <c r="I127" s="13"/>
      <c r="J127" s="12"/>
      <c r="K127" s="12"/>
      <c r="L127" s="12"/>
      <c r="M127" s="12"/>
      <c r="N127" s="12"/>
      <c r="O127" s="12"/>
      <c r="P127" s="12"/>
      <c r="Q127" s="13"/>
      <c r="R127" s="12"/>
      <c r="S127" s="12"/>
      <c r="T127" s="14"/>
      <c r="U127" s="17"/>
    </row>
    <row r="128" spans="2:22" ht="24.95" customHeight="1">
      <c r="B128" s="18"/>
      <c r="C128" s="20" t="s">
        <v>117</v>
      </c>
      <c r="D128" s="20"/>
      <c r="E128" s="10"/>
      <c r="F128" s="12"/>
      <c r="G128" s="12"/>
      <c r="H128" s="12"/>
      <c r="I128" s="13"/>
      <c r="J128" s="12"/>
      <c r="K128" s="12"/>
      <c r="L128" s="12"/>
      <c r="M128" s="12"/>
      <c r="N128" s="12"/>
      <c r="O128" s="12"/>
      <c r="P128" s="12"/>
      <c r="Q128" s="13"/>
      <c r="R128" s="12"/>
      <c r="S128" s="12"/>
      <c r="T128" s="14"/>
      <c r="U128" s="17"/>
    </row>
    <row r="129" spans="2:21" ht="24.95" customHeight="1">
      <c r="B129" s="18"/>
      <c r="C129" s="20"/>
      <c r="D129" s="20"/>
      <c r="E129" s="10" t="s">
        <v>118</v>
      </c>
      <c r="F129" s="12">
        <v>35806442</v>
      </c>
      <c r="G129" s="12">
        <v>34364614.770000003</v>
      </c>
      <c r="H129" s="12">
        <f>+F129-G129</f>
        <v>1441827.2299999967</v>
      </c>
      <c r="I129" s="13"/>
      <c r="J129" s="12">
        <v>30000000</v>
      </c>
      <c r="K129" s="12"/>
      <c r="L129" s="12">
        <f>+J129-K129</f>
        <v>30000000</v>
      </c>
      <c r="M129" s="12"/>
      <c r="N129" s="12"/>
      <c r="O129" s="12"/>
      <c r="P129" s="12">
        <f>+N129-O129</f>
        <v>0</v>
      </c>
      <c r="Q129" s="13"/>
      <c r="R129" s="12">
        <f t="shared" ref="R129:S131" si="58">+F129+J129+N129</f>
        <v>65806442</v>
      </c>
      <c r="S129" s="12">
        <f t="shared" si="58"/>
        <v>34364614.770000003</v>
      </c>
      <c r="T129" s="14">
        <f>+R129-S129</f>
        <v>31441827.229999997</v>
      </c>
      <c r="U129" s="17">
        <f t="shared" si="30"/>
        <v>0.52220745759206988</v>
      </c>
    </row>
    <row r="130" spans="2:21" ht="27.75" customHeight="1">
      <c r="B130" s="18"/>
      <c r="C130" s="10"/>
      <c r="D130" s="10"/>
      <c r="E130" s="22" t="s">
        <v>119</v>
      </c>
      <c r="F130" s="12">
        <v>169816025</v>
      </c>
      <c r="G130" s="12">
        <v>17588477.219999999</v>
      </c>
      <c r="H130" s="12">
        <f>+F130-G130</f>
        <v>152227547.78</v>
      </c>
      <c r="I130" s="13"/>
      <c r="J130" s="12"/>
      <c r="K130" s="12"/>
      <c r="L130" s="12">
        <f>+J130-K130</f>
        <v>0</v>
      </c>
      <c r="M130" s="12"/>
      <c r="N130" s="12"/>
      <c r="O130" s="12"/>
      <c r="P130" s="12">
        <f>+N130-O130</f>
        <v>0</v>
      </c>
      <c r="Q130" s="13"/>
      <c r="R130" s="12">
        <f t="shared" si="58"/>
        <v>169816025</v>
      </c>
      <c r="S130" s="12">
        <f t="shared" si="58"/>
        <v>17588477.219999999</v>
      </c>
      <c r="T130" s="14">
        <f>+R130-S130</f>
        <v>152227547.78</v>
      </c>
      <c r="U130" s="17">
        <f t="shared" si="30"/>
        <v>0.10357371879361797</v>
      </c>
    </row>
    <row r="131" spans="2:21" ht="24.95" customHeight="1">
      <c r="B131" s="18"/>
      <c r="C131" s="10"/>
      <c r="D131" s="10"/>
      <c r="E131" s="28" t="s">
        <v>120</v>
      </c>
      <c r="F131" s="12">
        <v>4126000</v>
      </c>
      <c r="G131" s="12">
        <v>1665301.91</v>
      </c>
      <c r="H131" s="12">
        <f>+F131-G131</f>
        <v>2460698.09</v>
      </c>
      <c r="I131" s="13"/>
      <c r="J131" s="12"/>
      <c r="K131" s="12">
        <v>524918.71</v>
      </c>
      <c r="L131" s="12">
        <f>+J131-K131</f>
        <v>-524918.71</v>
      </c>
      <c r="M131" s="12"/>
      <c r="N131" s="12"/>
      <c r="O131" s="12"/>
      <c r="P131" s="12">
        <f>+N131-O131</f>
        <v>0</v>
      </c>
      <c r="Q131" s="13"/>
      <c r="R131" s="12">
        <f t="shared" si="58"/>
        <v>4126000</v>
      </c>
      <c r="S131" s="12">
        <f t="shared" si="58"/>
        <v>2190220.62</v>
      </c>
      <c r="T131" s="14">
        <f>+R131-S131</f>
        <v>1935779.38</v>
      </c>
      <c r="U131" s="17">
        <f t="shared" si="30"/>
        <v>0.53083388754241401</v>
      </c>
    </row>
    <row r="132" spans="2:21" ht="24.95" customHeight="1">
      <c r="B132" s="18"/>
      <c r="C132" s="10"/>
      <c r="D132" s="10"/>
      <c r="E132" s="28"/>
      <c r="F132" s="12"/>
      <c r="G132" s="12"/>
      <c r="H132" s="12"/>
      <c r="I132" s="13"/>
      <c r="J132" s="12"/>
      <c r="K132" s="12"/>
      <c r="L132" s="12"/>
      <c r="M132" s="12"/>
      <c r="N132" s="12"/>
      <c r="O132" s="12"/>
      <c r="P132" s="12"/>
      <c r="Q132" s="13"/>
      <c r="R132" s="12"/>
      <c r="S132" s="12"/>
      <c r="T132" s="14"/>
      <c r="U132" s="17"/>
    </row>
    <row r="133" spans="2:21" ht="24.95" customHeight="1">
      <c r="B133" s="18"/>
      <c r="C133" s="20" t="s">
        <v>121</v>
      </c>
      <c r="D133" s="20"/>
      <c r="E133" s="10"/>
      <c r="F133" s="12"/>
      <c r="G133" s="12"/>
      <c r="H133" s="12"/>
      <c r="I133" s="13"/>
      <c r="J133" s="12"/>
      <c r="K133" s="12"/>
      <c r="L133" s="12"/>
      <c r="M133" s="12"/>
      <c r="N133" s="12"/>
      <c r="O133" s="12"/>
      <c r="P133" s="12"/>
      <c r="Q133" s="13"/>
      <c r="R133" s="12"/>
      <c r="S133" s="12"/>
      <c r="T133" s="14"/>
      <c r="U133" s="17"/>
    </row>
    <row r="134" spans="2:21" ht="24.95" customHeight="1">
      <c r="B134" s="18"/>
      <c r="C134" s="20"/>
      <c r="D134" s="20"/>
      <c r="E134" s="10" t="s">
        <v>122</v>
      </c>
      <c r="F134" s="12">
        <v>13276000</v>
      </c>
      <c r="G134" s="12">
        <v>9789204.8399999999</v>
      </c>
      <c r="H134" s="12">
        <f>+F134-G134</f>
        <v>3486795.16</v>
      </c>
      <c r="I134" s="13"/>
      <c r="J134" s="12">
        <v>11294418</v>
      </c>
      <c r="K134" s="12">
        <v>3370042.77</v>
      </c>
      <c r="L134" s="12">
        <f>+J134-K134</f>
        <v>7924375.2300000004</v>
      </c>
      <c r="M134" s="12"/>
      <c r="N134" s="12"/>
      <c r="O134" s="12"/>
      <c r="P134" s="12">
        <f>+N134-O134</f>
        <v>0</v>
      </c>
      <c r="Q134" s="13"/>
      <c r="R134" s="12">
        <f t="shared" ref="R134:S136" si="59">+F134+J134+N134</f>
        <v>24570418</v>
      </c>
      <c r="S134" s="12">
        <f t="shared" si="59"/>
        <v>13159247.609999999</v>
      </c>
      <c r="T134" s="14">
        <f>+R134-S134</f>
        <v>11411170.390000001</v>
      </c>
      <c r="U134" s="17">
        <f t="shared" si="30"/>
        <v>0.53557280181395361</v>
      </c>
    </row>
    <row r="135" spans="2:21" ht="27.75" customHeight="1">
      <c r="B135" s="18"/>
      <c r="C135" s="10"/>
      <c r="D135" s="10"/>
      <c r="E135" s="22" t="s">
        <v>123</v>
      </c>
      <c r="F135" s="12">
        <v>22859144</v>
      </c>
      <c r="G135" s="12">
        <v>12421227.35</v>
      </c>
      <c r="H135" s="12">
        <f>+F135-G135</f>
        <v>10437916.65</v>
      </c>
      <c r="I135" s="13"/>
      <c r="J135" s="12"/>
      <c r="K135" s="12"/>
      <c r="L135" s="12">
        <f>+J135-K135</f>
        <v>0</v>
      </c>
      <c r="M135" s="12"/>
      <c r="N135" s="12"/>
      <c r="O135" s="12"/>
      <c r="P135" s="12">
        <f>+N135-O135</f>
        <v>0</v>
      </c>
      <c r="Q135" s="13"/>
      <c r="R135" s="12">
        <f t="shared" si="59"/>
        <v>22859144</v>
      </c>
      <c r="S135" s="12">
        <f t="shared" si="59"/>
        <v>12421227.35</v>
      </c>
      <c r="T135" s="14">
        <f>+R135-S135</f>
        <v>10437916.65</v>
      </c>
      <c r="U135" s="17">
        <f t="shared" si="30"/>
        <v>0.54338112354513357</v>
      </c>
    </row>
    <row r="136" spans="2:21" ht="27.75" customHeight="1">
      <c r="B136" s="18"/>
      <c r="C136" s="10"/>
      <c r="D136" s="10"/>
      <c r="E136" s="22" t="s">
        <v>124</v>
      </c>
      <c r="F136" s="12">
        <v>17568000</v>
      </c>
      <c r="G136" s="12">
        <v>8509886.2200000007</v>
      </c>
      <c r="H136" s="12">
        <f>+F136-G136</f>
        <v>9058113.7799999993</v>
      </c>
      <c r="I136" s="13"/>
      <c r="J136" s="12"/>
      <c r="K136" s="12"/>
      <c r="L136" s="12">
        <f>+J136-K136</f>
        <v>0</v>
      </c>
      <c r="M136" s="12"/>
      <c r="N136" s="12"/>
      <c r="O136" s="12"/>
      <c r="P136" s="12">
        <f>+N136-O136</f>
        <v>0</v>
      </c>
      <c r="Q136" s="13"/>
      <c r="R136" s="12">
        <f t="shared" si="59"/>
        <v>17568000</v>
      </c>
      <c r="S136" s="12">
        <f t="shared" si="59"/>
        <v>8509886.2200000007</v>
      </c>
      <c r="T136" s="14">
        <f>+R136-S136</f>
        <v>9058113.7799999993</v>
      </c>
      <c r="U136" s="17">
        <f t="shared" si="30"/>
        <v>0.48439698428961753</v>
      </c>
    </row>
    <row r="137" spans="2:21" ht="27.75" customHeight="1">
      <c r="B137" s="18"/>
      <c r="C137" s="10"/>
      <c r="D137" s="10"/>
      <c r="E137" s="31" t="s">
        <v>51</v>
      </c>
      <c r="F137" s="32">
        <f>SUM(F108:F136)</f>
        <v>682757871.21000004</v>
      </c>
      <c r="G137" s="32">
        <f t="shared" ref="G137:S137" si="60">SUM(G108:G136)</f>
        <v>321301784.99000013</v>
      </c>
      <c r="H137" s="32">
        <f t="shared" si="60"/>
        <v>361456086.21999991</v>
      </c>
      <c r="I137" s="32">
        <f t="shared" si="60"/>
        <v>0</v>
      </c>
      <c r="J137" s="32">
        <f>SUM(J108:J136)</f>
        <v>143947418</v>
      </c>
      <c r="K137" s="32">
        <f t="shared" ref="K137" si="61">SUM(K108:K136)</f>
        <v>25100696.900000002</v>
      </c>
      <c r="L137" s="32">
        <f>SUM(L108:L136)</f>
        <v>118846721.10000001</v>
      </c>
      <c r="M137" s="32">
        <f t="shared" si="60"/>
        <v>0</v>
      </c>
      <c r="N137" s="32">
        <f>SUM(N108:N136)</f>
        <v>18217006</v>
      </c>
      <c r="O137" s="32">
        <f t="shared" ref="O137" si="62">SUM(O108:O136)</f>
        <v>2731576.09</v>
      </c>
      <c r="P137" s="32">
        <f>SUM(P108:P136)</f>
        <v>15485429.91</v>
      </c>
      <c r="Q137" s="32">
        <f t="shared" si="60"/>
        <v>0</v>
      </c>
      <c r="R137" s="32">
        <f t="shared" si="60"/>
        <v>844922295.21000004</v>
      </c>
      <c r="S137" s="32">
        <f t="shared" si="60"/>
        <v>349134057.98000014</v>
      </c>
      <c r="T137" s="34">
        <f>SUM(T108:T136)</f>
        <v>495788237.2299999</v>
      </c>
      <c r="U137" s="17">
        <f t="shared" si="30"/>
        <v>0.41321439848291031</v>
      </c>
    </row>
    <row r="138" spans="2:21" ht="24.95" customHeight="1">
      <c r="B138" s="18"/>
      <c r="C138" s="10"/>
      <c r="D138" s="10"/>
      <c r="E138" s="22"/>
      <c r="F138" s="12"/>
      <c r="G138" s="12"/>
      <c r="H138" s="12"/>
      <c r="I138" s="13"/>
      <c r="J138" s="12"/>
      <c r="K138" s="12"/>
      <c r="L138" s="12"/>
      <c r="M138" s="12"/>
      <c r="N138" s="12"/>
      <c r="O138" s="12"/>
      <c r="P138" s="12"/>
      <c r="Q138" s="13"/>
      <c r="R138" s="12"/>
      <c r="S138" s="12"/>
      <c r="T138" s="14"/>
      <c r="U138" s="17"/>
    </row>
    <row r="139" spans="2:21" ht="27.75" customHeight="1">
      <c r="B139" s="18"/>
      <c r="C139" s="24" t="s">
        <v>147</v>
      </c>
      <c r="D139" s="10"/>
      <c r="E139" s="22"/>
      <c r="F139" s="32"/>
      <c r="G139" s="32"/>
      <c r="H139" s="32"/>
      <c r="I139" s="33"/>
      <c r="J139" s="32"/>
      <c r="K139" s="32"/>
      <c r="L139" s="32"/>
      <c r="M139" s="32"/>
      <c r="N139" s="32"/>
      <c r="O139" s="32"/>
      <c r="P139" s="32"/>
      <c r="Q139" s="33"/>
      <c r="R139" s="32"/>
      <c r="S139" s="32"/>
      <c r="T139" s="34"/>
      <c r="U139" s="17"/>
    </row>
    <row r="140" spans="2:21" ht="27.75" customHeight="1">
      <c r="B140" s="18"/>
      <c r="C140" s="10"/>
      <c r="D140" s="10"/>
      <c r="E140" s="10" t="s">
        <v>148</v>
      </c>
      <c r="F140" s="12">
        <v>41393500</v>
      </c>
      <c r="G140" s="12">
        <v>21041202.399999999</v>
      </c>
      <c r="H140" s="12">
        <f>+F140-G140</f>
        <v>20352297.600000001</v>
      </c>
      <c r="I140" s="13"/>
      <c r="J140" s="12"/>
      <c r="K140" s="12"/>
      <c r="L140" s="12">
        <f>+J140-K140</f>
        <v>0</v>
      </c>
      <c r="M140" s="12"/>
      <c r="N140" s="12"/>
      <c r="O140" s="12"/>
      <c r="P140" s="12">
        <f>+N140-O140</f>
        <v>0</v>
      </c>
      <c r="Q140" s="13"/>
      <c r="R140" s="12">
        <f t="shared" ref="R140:S141" si="63">+F140+J140+N140</f>
        <v>41393500</v>
      </c>
      <c r="S140" s="12">
        <f t="shared" si="63"/>
        <v>21041202.399999999</v>
      </c>
      <c r="T140" s="14">
        <f>+R140-S140</f>
        <v>20352297.600000001</v>
      </c>
      <c r="U140" s="17">
        <f t="shared" ref="U140:U141" si="64">+S140/R140</f>
        <v>0.50832141278220011</v>
      </c>
    </row>
    <row r="141" spans="2:21" ht="27.75" customHeight="1">
      <c r="B141" s="18"/>
      <c r="C141" s="10"/>
      <c r="D141" s="10"/>
      <c r="E141" s="10" t="s">
        <v>149</v>
      </c>
      <c r="F141" s="12">
        <v>22876000</v>
      </c>
      <c r="G141" s="12">
        <v>16852415.23</v>
      </c>
      <c r="H141" s="12">
        <f>+F141-G141</f>
        <v>6023584.7699999996</v>
      </c>
      <c r="I141" s="13"/>
      <c r="J141" s="12"/>
      <c r="K141" s="12"/>
      <c r="L141" s="12">
        <f>+J141-K141</f>
        <v>0</v>
      </c>
      <c r="M141" s="12"/>
      <c r="N141" s="12">
        <v>153982</v>
      </c>
      <c r="O141" s="12">
        <v>153982</v>
      </c>
      <c r="P141" s="12">
        <f>+N141-O141</f>
        <v>0</v>
      </c>
      <c r="Q141" s="13"/>
      <c r="R141" s="12">
        <f t="shared" si="63"/>
        <v>23029982</v>
      </c>
      <c r="S141" s="12">
        <f t="shared" si="63"/>
        <v>17006397.23</v>
      </c>
      <c r="T141" s="14">
        <f>+R141-S141</f>
        <v>6023584.7699999996</v>
      </c>
      <c r="U141" s="17">
        <f t="shared" si="64"/>
        <v>0.73844596274543339</v>
      </c>
    </row>
    <row r="142" spans="2:21" ht="24.95" customHeight="1">
      <c r="B142" s="18"/>
      <c r="C142" s="10"/>
      <c r="D142" s="10"/>
      <c r="E142" s="22"/>
      <c r="F142" s="12"/>
      <c r="G142" s="12"/>
      <c r="H142" s="12"/>
      <c r="I142" s="13"/>
      <c r="J142" s="12"/>
      <c r="K142" s="12"/>
      <c r="L142" s="12"/>
      <c r="M142" s="12"/>
      <c r="N142" s="12"/>
      <c r="O142" s="12"/>
      <c r="P142" s="12"/>
      <c r="Q142" s="13"/>
      <c r="R142" s="12"/>
      <c r="S142" s="12"/>
      <c r="T142" s="14"/>
      <c r="U142" s="17"/>
    </row>
    <row r="143" spans="2:21" s="48" customFormat="1" ht="15.75" thickBot="1">
      <c r="B143" s="44"/>
      <c r="C143" s="24"/>
      <c r="D143" s="24"/>
      <c r="E143" s="45" t="s">
        <v>125</v>
      </c>
      <c r="F143" s="46">
        <f>+F8+F51+F81+F104+F137+F49+F50+F140+F141</f>
        <v>6727746715.5285711</v>
      </c>
      <c r="G143" s="46">
        <f t="shared" ref="G143:H143" si="65">+G8+G51+G81+G104+G137+G49+G50+G140+G141</f>
        <v>1949694166.29</v>
      </c>
      <c r="H143" s="46">
        <f t="shared" si="65"/>
        <v>4778052549.2385721</v>
      </c>
      <c r="I143" s="46">
        <f t="shared" ref="I143:Q143" si="66">+I8+I51+I81+I104+I137+I49+I50</f>
        <v>2208000</v>
      </c>
      <c r="J143" s="46">
        <f>+J8+J51+J81+J104+J137+J49+J50+J140+J141</f>
        <v>509955878.75</v>
      </c>
      <c r="K143" s="46">
        <f t="shared" ref="K143:L143" si="67">+K8+K51+K81+K104+K137+K49+K50+K140+K141</f>
        <v>176765453.47999999</v>
      </c>
      <c r="L143" s="46">
        <f t="shared" si="67"/>
        <v>333190425.27000004</v>
      </c>
      <c r="M143" s="46">
        <f t="shared" si="66"/>
        <v>0</v>
      </c>
      <c r="N143" s="46">
        <f>+N8+N51+N81+N104+N137+N49+N50+N140+N141</f>
        <v>57288964.170000002</v>
      </c>
      <c r="O143" s="46">
        <f t="shared" ref="O143:P143" si="68">+O8+O51+O81+O104+O137+O49+O50+O140+O141</f>
        <v>27535591.439999998</v>
      </c>
      <c r="P143" s="46">
        <f t="shared" si="68"/>
        <v>29753372.73</v>
      </c>
      <c r="Q143" s="46">
        <f t="shared" si="66"/>
        <v>0</v>
      </c>
      <c r="R143" s="46">
        <f>+R8+R51+R81+R104+R137+R49+R50+R140+R141</f>
        <v>7294991558.4485722</v>
      </c>
      <c r="S143" s="46">
        <f t="shared" ref="S143:T143" si="69">+S8+S51+S81+S104+S137+S49+S50+S140+S141</f>
        <v>2153995211.21</v>
      </c>
      <c r="T143" s="46">
        <f t="shared" si="69"/>
        <v>5140996347.2385721</v>
      </c>
      <c r="U143" s="47">
        <f>+S143/R143</f>
        <v>0.29527041860869413</v>
      </c>
    </row>
    <row r="144" spans="2:21" ht="15.75" thickTop="1" thickBot="1">
      <c r="B144" s="49"/>
      <c r="C144" s="50"/>
      <c r="D144" s="50"/>
      <c r="E144" s="51"/>
      <c r="F144" s="52"/>
      <c r="G144" s="52"/>
      <c r="H144" s="52"/>
      <c r="I144" s="53"/>
      <c r="J144" s="54"/>
      <c r="K144" s="54"/>
      <c r="L144" s="54"/>
      <c r="M144" s="54"/>
      <c r="N144" s="54"/>
      <c r="O144" s="54"/>
      <c r="P144" s="54"/>
      <c r="Q144" s="53"/>
      <c r="R144" s="54"/>
      <c r="S144" s="54"/>
      <c r="T144" s="55"/>
      <c r="U144" s="56"/>
    </row>
    <row r="145" spans="6:20" ht="24.95" customHeight="1">
      <c r="F145" s="30">
        <f>+F143+J143</f>
        <v>7237702594.2785711</v>
      </c>
      <c r="G145" s="30">
        <f>+G143+K143</f>
        <v>2126459619.77</v>
      </c>
      <c r="H145" s="30">
        <f>+F145-G145</f>
        <v>5111242974.5085716</v>
      </c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6:20" ht="24.95" customHeight="1">
      <c r="F146" s="58" t="s">
        <v>126</v>
      </c>
      <c r="J146" s="58" t="s">
        <v>127</v>
      </c>
      <c r="K146" s="30"/>
      <c r="N146" s="58" t="s">
        <v>128</v>
      </c>
      <c r="R146" s="13"/>
      <c r="S146" s="13"/>
      <c r="T146" s="13"/>
    </row>
    <row r="147" spans="6:20" ht="24.95" customHeight="1">
      <c r="R147" s="13"/>
      <c r="S147" s="13"/>
      <c r="T147" s="13"/>
    </row>
    <row r="148" spans="6:20" ht="24.95" customHeight="1">
      <c r="F148" s="59" t="s">
        <v>129</v>
      </c>
      <c r="J148" s="59" t="s">
        <v>130</v>
      </c>
      <c r="N148" s="59" t="s">
        <v>131</v>
      </c>
      <c r="R148" s="30"/>
      <c r="S148" s="30"/>
      <c r="T148" s="30"/>
    </row>
    <row r="149" spans="6:20" ht="17.25" customHeight="1">
      <c r="F149" s="58" t="s">
        <v>132</v>
      </c>
      <c r="J149" s="58" t="s">
        <v>133</v>
      </c>
      <c r="N149" s="58" t="s">
        <v>134</v>
      </c>
    </row>
  </sheetData>
  <autoFilter ref="B7:U140"/>
  <mergeCells count="11">
    <mergeCell ref="U5:U6"/>
    <mergeCell ref="C11:E11"/>
    <mergeCell ref="B1:T1"/>
    <mergeCell ref="B2:T2"/>
    <mergeCell ref="B3:T3"/>
    <mergeCell ref="B4:T4"/>
    <mergeCell ref="B5:E6"/>
    <mergeCell ref="F5:H5"/>
    <mergeCell ref="J5:L5"/>
    <mergeCell ref="N5:P5"/>
    <mergeCell ref="R5:T5"/>
  </mergeCells>
  <pageMargins left="1.25" right="0" top="0.36" bottom="0.3" header="0.27" footer="0.17"/>
  <pageSetup paperSize="5" scale="55" orientation="landscape" horizontalDpi="0" verticalDpi="0" r:id="rId1"/>
  <headerFooter>
    <oddFooter>&amp;R&amp;"-,Italic"&amp;8Page 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Y149"/>
  <sheetViews>
    <sheetView zoomScale="75" zoomScaleNormal="75" workbookViewId="0">
      <pane xSplit="5" ySplit="6" topLeftCell="O121" activePane="bottomRight" state="frozen"/>
      <selection pane="topRight" activeCell="F1" sqref="F1"/>
      <selection pane="bottomLeft" activeCell="A7" sqref="A7"/>
      <selection pane="bottomRight" activeCell="U132" sqref="U132"/>
    </sheetView>
  </sheetViews>
  <sheetFormatPr defaultRowHeight="24.95" customHeight="1"/>
  <cols>
    <col min="1" max="4" width="2.7109375" style="2" customWidth="1"/>
    <col min="5" max="5" width="50.5703125" style="57" customWidth="1"/>
    <col min="6" max="7" width="19.28515625" style="2" customWidth="1"/>
    <col min="8" max="8" width="18.5703125" style="2" customWidth="1"/>
    <col min="9" max="9" width="0.7109375" style="2" customWidth="1"/>
    <col min="10" max="10" width="24" style="2" bestFit="1" customWidth="1"/>
    <col min="11" max="11" width="18.7109375" style="2" bestFit="1" customWidth="1"/>
    <col min="12" max="12" width="19.42578125" style="2" bestFit="1" customWidth="1"/>
    <col min="13" max="13" width="0.5703125" style="2" customWidth="1"/>
    <col min="14" max="15" width="18.7109375" style="2" bestFit="1" customWidth="1"/>
    <col min="16" max="16" width="16.5703125" style="2" customWidth="1"/>
    <col min="17" max="17" width="0.7109375" style="2" customWidth="1"/>
    <col min="18" max="19" width="19.85546875" style="2" bestFit="1" customWidth="1"/>
    <col min="20" max="20" width="18.7109375" style="2" bestFit="1" customWidth="1"/>
    <col min="21" max="21" width="14.5703125" style="1" customWidth="1"/>
    <col min="22" max="22" width="9.140625" style="2"/>
    <col min="23" max="23" width="13.140625" style="2" bestFit="1" customWidth="1"/>
    <col min="24" max="256" width="9.140625" style="2"/>
    <col min="257" max="260" width="2.7109375" style="2" customWidth="1"/>
    <col min="261" max="261" width="50.5703125" style="2" customWidth="1"/>
    <col min="262" max="263" width="19.28515625" style="2" customWidth="1"/>
    <col min="264" max="264" width="18.5703125" style="2" customWidth="1"/>
    <col min="265" max="265" width="0.7109375" style="2" customWidth="1"/>
    <col min="266" max="266" width="24" style="2" bestFit="1" customWidth="1"/>
    <col min="267" max="267" width="18.7109375" style="2" bestFit="1" customWidth="1"/>
    <col min="268" max="268" width="19.42578125" style="2" bestFit="1" customWidth="1"/>
    <col min="269" max="269" width="0.5703125" style="2" customWidth="1"/>
    <col min="270" max="271" width="18.7109375" style="2" bestFit="1" customWidth="1"/>
    <col min="272" max="272" width="16.5703125" style="2" customWidth="1"/>
    <col min="273" max="273" width="0.7109375" style="2" customWidth="1"/>
    <col min="274" max="275" width="19.85546875" style="2" bestFit="1" customWidth="1"/>
    <col min="276" max="276" width="18.7109375" style="2" bestFit="1" customWidth="1"/>
    <col min="277" max="277" width="14.5703125" style="2" customWidth="1"/>
    <col min="278" max="278" width="9.140625" style="2"/>
    <col min="279" max="279" width="13.140625" style="2" bestFit="1" customWidth="1"/>
    <col min="280" max="512" width="9.140625" style="2"/>
    <col min="513" max="516" width="2.7109375" style="2" customWidth="1"/>
    <col min="517" max="517" width="50.5703125" style="2" customWidth="1"/>
    <col min="518" max="519" width="19.28515625" style="2" customWidth="1"/>
    <col min="520" max="520" width="18.5703125" style="2" customWidth="1"/>
    <col min="521" max="521" width="0.7109375" style="2" customWidth="1"/>
    <col min="522" max="522" width="24" style="2" bestFit="1" customWidth="1"/>
    <col min="523" max="523" width="18.7109375" style="2" bestFit="1" customWidth="1"/>
    <col min="524" max="524" width="19.42578125" style="2" bestFit="1" customWidth="1"/>
    <col min="525" max="525" width="0.5703125" style="2" customWidth="1"/>
    <col min="526" max="527" width="18.7109375" style="2" bestFit="1" customWidth="1"/>
    <col min="528" max="528" width="16.5703125" style="2" customWidth="1"/>
    <col min="529" max="529" width="0.7109375" style="2" customWidth="1"/>
    <col min="530" max="531" width="19.85546875" style="2" bestFit="1" customWidth="1"/>
    <col min="532" max="532" width="18.7109375" style="2" bestFit="1" customWidth="1"/>
    <col min="533" max="533" width="14.5703125" style="2" customWidth="1"/>
    <col min="534" max="534" width="9.140625" style="2"/>
    <col min="535" max="535" width="13.140625" style="2" bestFit="1" customWidth="1"/>
    <col min="536" max="768" width="9.140625" style="2"/>
    <col min="769" max="772" width="2.7109375" style="2" customWidth="1"/>
    <col min="773" max="773" width="50.5703125" style="2" customWidth="1"/>
    <col min="774" max="775" width="19.28515625" style="2" customWidth="1"/>
    <col min="776" max="776" width="18.5703125" style="2" customWidth="1"/>
    <col min="777" max="777" width="0.7109375" style="2" customWidth="1"/>
    <col min="778" max="778" width="24" style="2" bestFit="1" customWidth="1"/>
    <col min="779" max="779" width="18.7109375" style="2" bestFit="1" customWidth="1"/>
    <col min="780" max="780" width="19.42578125" style="2" bestFit="1" customWidth="1"/>
    <col min="781" max="781" width="0.5703125" style="2" customWidth="1"/>
    <col min="782" max="783" width="18.7109375" style="2" bestFit="1" customWidth="1"/>
    <col min="784" max="784" width="16.5703125" style="2" customWidth="1"/>
    <col min="785" max="785" width="0.7109375" style="2" customWidth="1"/>
    <col min="786" max="787" width="19.85546875" style="2" bestFit="1" customWidth="1"/>
    <col min="788" max="788" width="18.7109375" style="2" bestFit="1" customWidth="1"/>
    <col min="789" max="789" width="14.5703125" style="2" customWidth="1"/>
    <col min="790" max="790" width="9.140625" style="2"/>
    <col min="791" max="791" width="13.140625" style="2" bestFit="1" customWidth="1"/>
    <col min="792" max="1024" width="9.140625" style="2"/>
    <col min="1025" max="1028" width="2.7109375" style="2" customWidth="1"/>
    <col min="1029" max="1029" width="50.5703125" style="2" customWidth="1"/>
    <col min="1030" max="1031" width="19.28515625" style="2" customWidth="1"/>
    <col min="1032" max="1032" width="18.5703125" style="2" customWidth="1"/>
    <col min="1033" max="1033" width="0.7109375" style="2" customWidth="1"/>
    <col min="1034" max="1034" width="24" style="2" bestFit="1" customWidth="1"/>
    <col min="1035" max="1035" width="18.7109375" style="2" bestFit="1" customWidth="1"/>
    <col min="1036" max="1036" width="19.42578125" style="2" bestFit="1" customWidth="1"/>
    <col min="1037" max="1037" width="0.5703125" style="2" customWidth="1"/>
    <col min="1038" max="1039" width="18.7109375" style="2" bestFit="1" customWidth="1"/>
    <col min="1040" max="1040" width="16.5703125" style="2" customWidth="1"/>
    <col min="1041" max="1041" width="0.7109375" style="2" customWidth="1"/>
    <col min="1042" max="1043" width="19.85546875" style="2" bestFit="1" customWidth="1"/>
    <col min="1044" max="1044" width="18.7109375" style="2" bestFit="1" customWidth="1"/>
    <col min="1045" max="1045" width="14.5703125" style="2" customWidth="1"/>
    <col min="1046" max="1046" width="9.140625" style="2"/>
    <col min="1047" max="1047" width="13.140625" style="2" bestFit="1" customWidth="1"/>
    <col min="1048" max="1280" width="9.140625" style="2"/>
    <col min="1281" max="1284" width="2.7109375" style="2" customWidth="1"/>
    <col min="1285" max="1285" width="50.5703125" style="2" customWidth="1"/>
    <col min="1286" max="1287" width="19.28515625" style="2" customWidth="1"/>
    <col min="1288" max="1288" width="18.5703125" style="2" customWidth="1"/>
    <col min="1289" max="1289" width="0.7109375" style="2" customWidth="1"/>
    <col min="1290" max="1290" width="24" style="2" bestFit="1" customWidth="1"/>
    <col min="1291" max="1291" width="18.7109375" style="2" bestFit="1" customWidth="1"/>
    <col min="1292" max="1292" width="19.42578125" style="2" bestFit="1" customWidth="1"/>
    <col min="1293" max="1293" width="0.5703125" style="2" customWidth="1"/>
    <col min="1294" max="1295" width="18.7109375" style="2" bestFit="1" customWidth="1"/>
    <col min="1296" max="1296" width="16.5703125" style="2" customWidth="1"/>
    <col min="1297" max="1297" width="0.7109375" style="2" customWidth="1"/>
    <col min="1298" max="1299" width="19.85546875" style="2" bestFit="1" customWidth="1"/>
    <col min="1300" max="1300" width="18.7109375" style="2" bestFit="1" customWidth="1"/>
    <col min="1301" max="1301" width="14.5703125" style="2" customWidth="1"/>
    <col min="1302" max="1302" width="9.140625" style="2"/>
    <col min="1303" max="1303" width="13.140625" style="2" bestFit="1" customWidth="1"/>
    <col min="1304" max="1536" width="9.140625" style="2"/>
    <col min="1537" max="1540" width="2.7109375" style="2" customWidth="1"/>
    <col min="1541" max="1541" width="50.5703125" style="2" customWidth="1"/>
    <col min="1542" max="1543" width="19.28515625" style="2" customWidth="1"/>
    <col min="1544" max="1544" width="18.5703125" style="2" customWidth="1"/>
    <col min="1545" max="1545" width="0.7109375" style="2" customWidth="1"/>
    <col min="1546" max="1546" width="24" style="2" bestFit="1" customWidth="1"/>
    <col min="1547" max="1547" width="18.7109375" style="2" bestFit="1" customWidth="1"/>
    <col min="1548" max="1548" width="19.42578125" style="2" bestFit="1" customWidth="1"/>
    <col min="1549" max="1549" width="0.5703125" style="2" customWidth="1"/>
    <col min="1550" max="1551" width="18.7109375" style="2" bestFit="1" customWidth="1"/>
    <col min="1552" max="1552" width="16.5703125" style="2" customWidth="1"/>
    <col min="1553" max="1553" width="0.7109375" style="2" customWidth="1"/>
    <col min="1554" max="1555" width="19.85546875" style="2" bestFit="1" customWidth="1"/>
    <col min="1556" max="1556" width="18.7109375" style="2" bestFit="1" customWidth="1"/>
    <col min="1557" max="1557" width="14.5703125" style="2" customWidth="1"/>
    <col min="1558" max="1558" width="9.140625" style="2"/>
    <col min="1559" max="1559" width="13.140625" style="2" bestFit="1" customWidth="1"/>
    <col min="1560" max="1792" width="9.140625" style="2"/>
    <col min="1793" max="1796" width="2.7109375" style="2" customWidth="1"/>
    <col min="1797" max="1797" width="50.5703125" style="2" customWidth="1"/>
    <col min="1798" max="1799" width="19.28515625" style="2" customWidth="1"/>
    <col min="1800" max="1800" width="18.5703125" style="2" customWidth="1"/>
    <col min="1801" max="1801" width="0.7109375" style="2" customWidth="1"/>
    <col min="1802" max="1802" width="24" style="2" bestFit="1" customWidth="1"/>
    <col min="1803" max="1803" width="18.7109375" style="2" bestFit="1" customWidth="1"/>
    <col min="1804" max="1804" width="19.42578125" style="2" bestFit="1" customWidth="1"/>
    <col min="1805" max="1805" width="0.5703125" style="2" customWidth="1"/>
    <col min="1806" max="1807" width="18.7109375" style="2" bestFit="1" customWidth="1"/>
    <col min="1808" max="1808" width="16.5703125" style="2" customWidth="1"/>
    <col min="1809" max="1809" width="0.7109375" style="2" customWidth="1"/>
    <col min="1810" max="1811" width="19.85546875" style="2" bestFit="1" customWidth="1"/>
    <col min="1812" max="1812" width="18.7109375" style="2" bestFit="1" customWidth="1"/>
    <col min="1813" max="1813" width="14.5703125" style="2" customWidth="1"/>
    <col min="1814" max="1814" width="9.140625" style="2"/>
    <col min="1815" max="1815" width="13.140625" style="2" bestFit="1" customWidth="1"/>
    <col min="1816" max="2048" width="9.140625" style="2"/>
    <col min="2049" max="2052" width="2.7109375" style="2" customWidth="1"/>
    <col min="2053" max="2053" width="50.5703125" style="2" customWidth="1"/>
    <col min="2054" max="2055" width="19.28515625" style="2" customWidth="1"/>
    <col min="2056" max="2056" width="18.5703125" style="2" customWidth="1"/>
    <col min="2057" max="2057" width="0.7109375" style="2" customWidth="1"/>
    <col min="2058" max="2058" width="24" style="2" bestFit="1" customWidth="1"/>
    <col min="2059" max="2059" width="18.7109375" style="2" bestFit="1" customWidth="1"/>
    <col min="2060" max="2060" width="19.42578125" style="2" bestFit="1" customWidth="1"/>
    <col min="2061" max="2061" width="0.5703125" style="2" customWidth="1"/>
    <col min="2062" max="2063" width="18.7109375" style="2" bestFit="1" customWidth="1"/>
    <col min="2064" max="2064" width="16.5703125" style="2" customWidth="1"/>
    <col min="2065" max="2065" width="0.7109375" style="2" customWidth="1"/>
    <col min="2066" max="2067" width="19.85546875" style="2" bestFit="1" customWidth="1"/>
    <col min="2068" max="2068" width="18.7109375" style="2" bestFit="1" customWidth="1"/>
    <col min="2069" max="2069" width="14.5703125" style="2" customWidth="1"/>
    <col min="2070" max="2070" width="9.140625" style="2"/>
    <col min="2071" max="2071" width="13.140625" style="2" bestFit="1" customWidth="1"/>
    <col min="2072" max="2304" width="9.140625" style="2"/>
    <col min="2305" max="2308" width="2.7109375" style="2" customWidth="1"/>
    <col min="2309" max="2309" width="50.5703125" style="2" customWidth="1"/>
    <col min="2310" max="2311" width="19.28515625" style="2" customWidth="1"/>
    <col min="2312" max="2312" width="18.5703125" style="2" customWidth="1"/>
    <col min="2313" max="2313" width="0.7109375" style="2" customWidth="1"/>
    <col min="2314" max="2314" width="24" style="2" bestFit="1" customWidth="1"/>
    <col min="2315" max="2315" width="18.7109375" style="2" bestFit="1" customWidth="1"/>
    <col min="2316" max="2316" width="19.42578125" style="2" bestFit="1" customWidth="1"/>
    <col min="2317" max="2317" width="0.5703125" style="2" customWidth="1"/>
    <col min="2318" max="2319" width="18.7109375" style="2" bestFit="1" customWidth="1"/>
    <col min="2320" max="2320" width="16.5703125" style="2" customWidth="1"/>
    <col min="2321" max="2321" width="0.7109375" style="2" customWidth="1"/>
    <col min="2322" max="2323" width="19.85546875" style="2" bestFit="1" customWidth="1"/>
    <col min="2324" max="2324" width="18.7109375" style="2" bestFit="1" customWidth="1"/>
    <col min="2325" max="2325" width="14.5703125" style="2" customWidth="1"/>
    <col min="2326" max="2326" width="9.140625" style="2"/>
    <col min="2327" max="2327" width="13.140625" style="2" bestFit="1" customWidth="1"/>
    <col min="2328" max="2560" width="9.140625" style="2"/>
    <col min="2561" max="2564" width="2.7109375" style="2" customWidth="1"/>
    <col min="2565" max="2565" width="50.5703125" style="2" customWidth="1"/>
    <col min="2566" max="2567" width="19.28515625" style="2" customWidth="1"/>
    <col min="2568" max="2568" width="18.5703125" style="2" customWidth="1"/>
    <col min="2569" max="2569" width="0.7109375" style="2" customWidth="1"/>
    <col min="2570" max="2570" width="24" style="2" bestFit="1" customWidth="1"/>
    <col min="2571" max="2571" width="18.7109375" style="2" bestFit="1" customWidth="1"/>
    <col min="2572" max="2572" width="19.42578125" style="2" bestFit="1" customWidth="1"/>
    <col min="2573" max="2573" width="0.5703125" style="2" customWidth="1"/>
    <col min="2574" max="2575" width="18.7109375" style="2" bestFit="1" customWidth="1"/>
    <col min="2576" max="2576" width="16.5703125" style="2" customWidth="1"/>
    <col min="2577" max="2577" width="0.7109375" style="2" customWidth="1"/>
    <col min="2578" max="2579" width="19.85546875" style="2" bestFit="1" customWidth="1"/>
    <col min="2580" max="2580" width="18.7109375" style="2" bestFit="1" customWidth="1"/>
    <col min="2581" max="2581" width="14.5703125" style="2" customWidth="1"/>
    <col min="2582" max="2582" width="9.140625" style="2"/>
    <col min="2583" max="2583" width="13.140625" style="2" bestFit="1" customWidth="1"/>
    <col min="2584" max="2816" width="9.140625" style="2"/>
    <col min="2817" max="2820" width="2.7109375" style="2" customWidth="1"/>
    <col min="2821" max="2821" width="50.5703125" style="2" customWidth="1"/>
    <col min="2822" max="2823" width="19.28515625" style="2" customWidth="1"/>
    <col min="2824" max="2824" width="18.5703125" style="2" customWidth="1"/>
    <col min="2825" max="2825" width="0.7109375" style="2" customWidth="1"/>
    <col min="2826" max="2826" width="24" style="2" bestFit="1" customWidth="1"/>
    <col min="2827" max="2827" width="18.7109375" style="2" bestFit="1" customWidth="1"/>
    <col min="2828" max="2828" width="19.42578125" style="2" bestFit="1" customWidth="1"/>
    <col min="2829" max="2829" width="0.5703125" style="2" customWidth="1"/>
    <col min="2830" max="2831" width="18.7109375" style="2" bestFit="1" customWidth="1"/>
    <col min="2832" max="2832" width="16.5703125" style="2" customWidth="1"/>
    <col min="2833" max="2833" width="0.7109375" style="2" customWidth="1"/>
    <col min="2834" max="2835" width="19.85546875" style="2" bestFit="1" customWidth="1"/>
    <col min="2836" max="2836" width="18.7109375" style="2" bestFit="1" customWidth="1"/>
    <col min="2837" max="2837" width="14.5703125" style="2" customWidth="1"/>
    <col min="2838" max="2838" width="9.140625" style="2"/>
    <col min="2839" max="2839" width="13.140625" style="2" bestFit="1" customWidth="1"/>
    <col min="2840" max="3072" width="9.140625" style="2"/>
    <col min="3073" max="3076" width="2.7109375" style="2" customWidth="1"/>
    <col min="3077" max="3077" width="50.5703125" style="2" customWidth="1"/>
    <col min="3078" max="3079" width="19.28515625" style="2" customWidth="1"/>
    <col min="3080" max="3080" width="18.5703125" style="2" customWidth="1"/>
    <col min="3081" max="3081" width="0.7109375" style="2" customWidth="1"/>
    <col min="3082" max="3082" width="24" style="2" bestFit="1" customWidth="1"/>
    <col min="3083" max="3083" width="18.7109375" style="2" bestFit="1" customWidth="1"/>
    <col min="3084" max="3084" width="19.42578125" style="2" bestFit="1" customWidth="1"/>
    <col min="3085" max="3085" width="0.5703125" style="2" customWidth="1"/>
    <col min="3086" max="3087" width="18.7109375" style="2" bestFit="1" customWidth="1"/>
    <col min="3088" max="3088" width="16.5703125" style="2" customWidth="1"/>
    <col min="3089" max="3089" width="0.7109375" style="2" customWidth="1"/>
    <col min="3090" max="3091" width="19.85546875" style="2" bestFit="1" customWidth="1"/>
    <col min="3092" max="3092" width="18.7109375" style="2" bestFit="1" customWidth="1"/>
    <col min="3093" max="3093" width="14.5703125" style="2" customWidth="1"/>
    <col min="3094" max="3094" width="9.140625" style="2"/>
    <col min="3095" max="3095" width="13.140625" style="2" bestFit="1" customWidth="1"/>
    <col min="3096" max="3328" width="9.140625" style="2"/>
    <col min="3329" max="3332" width="2.7109375" style="2" customWidth="1"/>
    <col min="3333" max="3333" width="50.5703125" style="2" customWidth="1"/>
    <col min="3334" max="3335" width="19.28515625" style="2" customWidth="1"/>
    <col min="3336" max="3336" width="18.5703125" style="2" customWidth="1"/>
    <col min="3337" max="3337" width="0.7109375" style="2" customWidth="1"/>
    <col min="3338" max="3338" width="24" style="2" bestFit="1" customWidth="1"/>
    <col min="3339" max="3339" width="18.7109375" style="2" bestFit="1" customWidth="1"/>
    <col min="3340" max="3340" width="19.42578125" style="2" bestFit="1" customWidth="1"/>
    <col min="3341" max="3341" width="0.5703125" style="2" customWidth="1"/>
    <col min="3342" max="3343" width="18.7109375" style="2" bestFit="1" customWidth="1"/>
    <col min="3344" max="3344" width="16.5703125" style="2" customWidth="1"/>
    <col min="3345" max="3345" width="0.7109375" style="2" customWidth="1"/>
    <col min="3346" max="3347" width="19.85546875" style="2" bestFit="1" customWidth="1"/>
    <col min="3348" max="3348" width="18.7109375" style="2" bestFit="1" customWidth="1"/>
    <col min="3349" max="3349" width="14.5703125" style="2" customWidth="1"/>
    <col min="3350" max="3350" width="9.140625" style="2"/>
    <col min="3351" max="3351" width="13.140625" style="2" bestFit="1" customWidth="1"/>
    <col min="3352" max="3584" width="9.140625" style="2"/>
    <col min="3585" max="3588" width="2.7109375" style="2" customWidth="1"/>
    <col min="3589" max="3589" width="50.5703125" style="2" customWidth="1"/>
    <col min="3590" max="3591" width="19.28515625" style="2" customWidth="1"/>
    <col min="3592" max="3592" width="18.5703125" style="2" customWidth="1"/>
    <col min="3593" max="3593" width="0.7109375" style="2" customWidth="1"/>
    <col min="3594" max="3594" width="24" style="2" bestFit="1" customWidth="1"/>
    <col min="3595" max="3595" width="18.7109375" style="2" bestFit="1" customWidth="1"/>
    <col min="3596" max="3596" width="19.42578125" style="2" bestFit="1" customWidth="1"/>
    <col min="3597" max="3597" width="0.5703125" style="2" customWidth="1"/>
    <col min="3598" max="3599" width="18.7109375" style="2" bestFit="1" customWidth="1"/>
    <col min="3600" max="3600" width="16.5703125" style="2" customWidth="1"/>
    <col min="3601" max="3601" width="0.7109375" style="2" customWidth="1"/>
    <col min="3602" max="3603" width="19.85546875" style="2" bestFit="1" customWidth="1"/>
    <col min="3604" max="3604" width="18.7109375" style="2" bestFit="1" customWidth="1"/>
    <col min="3605" max="3605" width="14.5703125" style="2" customWidth="1"/>
    <col min="3606" max="3606" width="9.140625" style="2"/>
    <col min="3607" max="3607" width="13.140625" style="2" bestFit="1" customWidth="1"/>
    <col min="3608" max="3840" width="9.140625" style="2"/>
    <col min="3841" max="3844" width="2.7109375" style="2" customWidth="1"/>
    <col min="3845" max="3845" width="50.5703125" style="2" customWidth="1"/>
    <col min="3846" max="3847" width="19.28515625" style="2" customWidth="1"/>
    <col min="3848" max="3848" width="18.5703125" style="2" customWidth="1"/>
    <col min="3849" max="3849" width="0.7109375" style="2" customWidth="1"/>
    <col min="3850" max="3850" width="24" style="2" bestFit="1" customWidth="1"/>
    <col min="3851" max="3851" width="18.7109375" style="2" bestFit="1" customWidth="1"/>
    <col min="3852" max="3852" width="19.42578125" style="2" bestFit="1" customWidth="1"/>
    <col min="3853" max="3853" width="0.5703125" style="2" customWidth="1"/>
    <col min="3854" max="3855" width="18.7109375" style="2" bestFit="1" customWidth="1"/>
    <col min="3856" max="3856" width="16.5703125" style="2" customWidth="1"/>
    <col min="3857" max="3857" width="0.7109375" style="2" customWidth="1"/>
    <col min="3858" max="3859" width="19.85546875" style="2" bestFit="1" customWidth="1"/>
    <col min="3860" max="3860" width="18.7109375" style="2" bestFit="1" customWidth="1"/>
    <col min="3861" max="3861" width="14.5703125" style="2" customWidth="1"/>
    <col min="3862" max="3862" width="9.140625" style="2"/>
    <col min="3863" max="3863" width="13.140625" style="2" bestFit="1" customWidth="1"/>
    <col min="3864" max="4096" width="9.140625" style="2"/>
    <col min="4097" max="4100" width="2.7109375" style="2" customWidth="1"/>
    <col min="4101" max="4101" width="50.5703125" style="2" customWidth="1"/>
    <col min="4102" max="4103" width="19.28515625" style="2" customWidth="1"/>
    <col min="4104" max="4104" width="18.5703125" style="2" customWidth="1"/>
    <col min="4105" max="4105" width="0.7109375" style="2" customWidth="1"/>
    <col min="4106" max="4106" width="24" style="2" bestFit="1" customWidth="1"/>
    <col min="4107" max="4107" width="18.7109375" style="2" bestFit="1" customWidth="1"/>
    <col min="4108" max="4108" width="19.42578125" style="2" bestFit="1" customWidth="1"/>
    <col min="4109" max="4109" width="0.5703125" style="2" customWidth="1"/>
    <col min="4110" max="4111" width="18.7109375" style="2" bestFit="1" customWidth="1"/>
    <col min="4112" max="4112" width="16.5703125" style="2" customWidth="1"/>
    <col min="4113" max="4113" width="0.7109375" style="2" customWidth="1"/>
    <col min="4114" max="4115" width="19.85546875" style="2" bestFit="1" customWidth="1"/>
    <col min="4116" max="4116" width="18.7109375" style="2" bestFit="1" customWidth="1"/>
    <col min="4117" max="4117" width="14.5703125" style="2" customWidth="1"/>
    <col min="4118" max="4118" width="9.140625" style="2"/>
    <col min="4119" max="4119" width="13.140625" style="2" bestFit="1" customWidth="1"/>
    <col min="4120" max="4352" width="9.140625" style="2"/>
    <col min="4353" max="4356" width="2.7109375" style="2" customWidth="1"/>
    <col min="4357" max="4357" width="50.5703125" style="2" customWidth="1"/>
    <col min="4358" max="4359" width="19.28515625" style="2" customWidth="1"/>
    <col min="4360" max="4360" width="18.5703125" style="2" customWidth="1"/>
    <col min="4361" max="4361" width="0.7109375" style="2" customWidth="1"/>
    <col min="4362" max="4362" width="24" style="2" bestFit="1" customWidth="1"/>
    <col min="4363" max="4363" width="18.7109375" style="2" bestFit="1" customWidth="1"/>
    <col min="4364" max="4364" width="19.42578125" style="2" bestFit="1" customWidth="1"/>
    <col min="4365" max="4365" width="0.5703125" style="2" customWidth="1"/>
    <col min="4366" max="4367" width="18.7109375" style="2" bestFit="1" customWidth="1"/>
    <col min="4368" max="4368" width="16.5703125" style="2" customWidth="1"/>
    <col min="4369" max="4369" width="0.7109375" style="2" customWidth="1"/>
    <col min="4370" max="4371" width="19.85546875" style="2" bestFit="1" customWidth="1"/>
    <col min="4372" max="4372" width="18.7109375" style="2" bestFit="1" customWidth="1"/>
    <col min="4373" max="4373" width="14.5703125" style="2" customWidth="1"/>
    <col min="4374" max="4374" width="9.140625" style="2"/>
    <col min="4375" max="4375" width="13.140625" style="2" bestFit="1" customWidth="1"/>
    <col min="4376" max="4608" width="9.140625" style="2"/>
    <col min="4609" max="4612" width="2.7109375" style="2" customWidth="1"/>
    <col min="4613" max="4613" width="50.5703125" style="2" customWidth="1"/>
    <col min="4614" max="4615" width="19.28515625" style="2" customWidth="1"/>
    <col min="4616" max="4616" width="18.5703125" style="2" customWidth="1"/>
    <col min="4617" max="4617" width="0.7109375" style="2" customWidth="1"/>
    <col min="4618" max="4618" width="24" style="2" bestFit="1" customWidth="1"/>
    <col min="4619" max="4619" width="18.7109375" style="2" bestFit="1" customWidth="1"/>
    <col min="4620" max="4620" width="19.42578125" style="2" bestFit="1" customWidth="1"/>
    <col min="4621" max="4621" width="0.5703125" style="2" customWidth="1"/>
    <col min="4622" max="4623" width="18.7109375" style="2" bestFit="1" customWidth="1"/>
    <col min="4624" max="4624" width="16.5703125" style="2" customWidth="1"/>
    <col min="4625" max="4625" width="0.7109375" style="2" customWidth="1"/>
    <col min="4626" max="4627" width="19.85546875" style="2" bestFit="1" customWidth="1"/>
    <col min="4628" max="4628" width="18.7109375" style="2" bestFit="1" customWidth="1"/>
    <col min="4629" max="4629" width="14.5703125" style="2" customWidth="1"/>
    <col min="4630" max="4630" width="9.140625" style="2"/>
    <col min="4631" max="4631" width="13.140625" style="2" bestFit="1" customWidth="1"/>
    <col min="4632" max="4864" width="9.140625" style="2"/>
    <col min="4865" max="4868" width="2.7109375" style="2" customWidth="1"/>
    <col min="4869" max="4869" width="50.5703125" style="2" customWidth="1"/>
    <col min="4870" max="4871" width="19.28515625" style="2" customWidth="1"/>
    <col min="4872" max="4872" width="18.5703125" style="2" customWidth="1"/>
    <col min="4873" max="4873" width="0.7109375" style="2" customWidth="1"/>
    <col min="4874" max="4874" width="24" style="2" bestFit="1" customWidth="1"/>
    <col min="4875" max="4875" width="18.7109375" style="2" bestFit="1" customWidth="1"/>
    <col min="4876" max="4876" width="19.42578125" style="2" bestFit="1" customWidth="1"/>
    <col min="4877" max="4877" width="0.5703125" style="2" customWidth="1"/>
    <col min="4878" max="4879" width="18.7109375" style="2" bestFit="1" customWidth="1"/>
    <col min="4880" max="4880" width="16.5703125" style="2" customWidth="1"/>
    <col min="4881" max="4881" width="0.7109375" style="2" customWidth="1"/>
    <col min="4882" max="4883" width="19.85546875" style="2" bestFit="1" customWidth="1"/>
    <col min="4884" max="4884" width="18.7109375" style="2" bestFit="1" customWidth="1"/>
    <col min="4885" max="4885" width="14.5703125" style="2" customWidth="1"/>
    <col min="4886" max="4886" width="9.140625" style="2"/>
    <col min="4887" max="4887" width="13.140625" style="2" bestFit="1" customWidth="1"/>
    <col min="4888" max="5120" width="9.140625" style="2"/>
    <col min="5121" max="5124" width="2.7109375" style="2" customWidth="1"/>
    <col min="5125" max="5125" width="50.5703125" style="2" customWidth="1"/>
    <col min="5126" max="5127" width="19.28515625" style="2" customWidth="1"/>
    <col min="5128" max="5128" width="18.5703125" style="2" customWidth="1"/>
    <col min="5129" max="5129" width="0.7109375" style="2" customWidth="1"/>
    <col min="5130" max="5130" width="24" style="2" bestFit="1" customWidth="1"/>
    <col min="5131" max="5131" width="18.7109375" style="2" bestFit="1" customWidth="1"/>
    <col min="5132" max="5132" width="19.42578125" style="2" bestFit="1" customWidth="1"/>
    <col min="5133" max="5133" width="0.5703125" style="2" customWidth="1"/>
    <col min="5134" max="5135" width="18.7109375" style="2" bestFit="1" customWidth="1"/>
    <col min="5136" max="5136" width="16.5703125" style="2" customWidth="1"/>
    <col min="5137" max="5137" width="0.7109375" style="2" customWidth="1"/>
    <col min="5138" max="5139" width="19.85546875" style="2" bestFit="1" customWidth="1"/>
    <col min="5140" max="5140" width="18.7109375" style="2" bestFit="1" customWidth="1"/>
    <col min="5141" max="5141" width="14.5703125" style="2" customWidth="1"/>
    <col min="5142" max="5142" width="9.140625" style="2"/>
    <col min="5143" max="5143" width="13.140625" style="2" bestFit="1" customWidth="1"/>
    <col min="5144" max="5376" width="9.140625" style="2"/>
    <col min="5377" max="5380" width="2.7109375" style="2" customWidth="1"/>
    <col min="5381" max="5381" width="50.5703125" style="2" customWidth="1"/>
    <col min="5382" max="5383" width="19.28515625" style="2" customWidth="1"/>
    <col min="5384" max="5384" width="18.5703125" style="2" customWidth="1"/>
    <col min="5385" max="5385" width="0.7109375" style="2" customWidth="1"/>
    <col min="5386" max="5386" width="24" style="2" bestFit="1" customWidth="1"/>
    <col min="5387" max="5387" width="18.7109375" style="2" bestFit="1" customWidth="1"/>
    <col min="5388" max="5388" width="19.42578125" style="2" bestFit="1" customWidth="1"/>
    <col min="5389" max="5389" width="0.5703125" style="2" customWidth="1"/>
    <col min="5390" max="5391" width="18.7109375" style="2" bestFit="1" customWidth="1"/>
    <col min="5392" max="5392" width="16.5703125" style="2" customWidth="1"/>
    <col min="5393" max="5393" width="0.7109375" style="2" customWidth="1"/>
    <col min="5394" max="5395" width="19.85546875" style="2" bestFit="1" customWidth="1"/>
    <col min="5396" max="5396" width="18.7109375" style="2" bestFit="1" customWidth="1"/>
    <col min="5397" max="5397" width="14.5703125" style="2" customWidth="1"/>
    <col min="5398" max="5398" width="9.140625" style="2"/>
    <col min="5399" max="5399" width="13.140625" style="2" bestFit="1" customWidth="1"/>
    <col min="5400" max="5632" width="9.140625" style="2"/>
    <col min="5633" max="5636" width="2.7109375" style="2" customWidth="1"/>
    <col min="5637" max="5637" width="50.5703125" style="2" customWidth="1"/>
    <col min="5638" max="5639" width="19.28515625" style="2" customWidth="1"/>
    <col min="5640" max="5640" width="18.5703125" style="2" customWidth="1"/>
    <col min="5641" max="5641" width="0.7109375" style="2" customWidth="1"/>
    <col min="5642" max="5642" width="24" style="2" bestFit="1" customWidth="1"/>
    <col min="5643" max="5643" width="18.7109375" style="2" bestFit="1" customWidth="1"/>
    <col min="5644" max="5644" width="19.42578125" style="2" bestFit="1" customWidth="1"/>
    <col min="5645" max="5645" width="0.5703125" style="2" customWidth="1"/>
    <col min="5646" max="5647" width="18.7109375" style="2" bestFit="1" customWidth="1"/>
    <col min="5648" max="5648" width="16.5703125" style="2" customWidth="1"/>
    <col min="5649" max="5649" width="0.7109375" style="2" customWidth="1"/>
    <col min="5650" max="5651" width="19.85546875" style="2" bestFit="1" customWidth="1"/>
    <col min="5652" max="5652" width="18.7109375" style="2" bestFit="1" customWidth="1"/>
    <col min="5653" max="5653" width="14.5703125" style="2" customWidth="1"/>
    <col min="5654" max="5654" width="9.140625" style="2"/>
    <col min="5655" max="5655" width="13.140625" style="2" bestFit="1" customWidth="1"/>
    <col min="5656" max="5888" width="9.140625" style="2"/>
    <col min="5889" max="5892" width="2.7109375" style="2" customWidth="1"/>
    <col min="5893" max="5893" width="50.5703125" style="2" customWidth="1"/>
    <col min="5894" max="5895" width="19.28515625" style="2" customWidth="1"/>
    <col min="5896" max="5896" width="18.5703125" style="2" customWidth="1"/>
    <col min="5897" max="5897" width="0.7109375" style="2" customWidth="1"/>
    <col min="5898" max="5898" width="24" style="2" bestFit="1" customWidth="1"/>
    <col min="5899" max="5899" width="18.7109375" style="2" bestFit="1" customWidth="1"/>
    <col min="5900" max="5900" width="19.42578125" style="2" bestFit="1" customWidth="1"/>
    <col min="5901" max="5901" width="0.5703125" style="2" customWidth="1"/>
    <col min="5902" max="5903" width="18.7109375" style="2" bestFit="1" customWidth="1"/>
    <col min="5904" max="5904" width="16.5703125" style="2" customWidth="1"/>
    <col min="5905" max="5905" width="0.7109375" style="2" customWidth="1"/>
    <col min="5906" max="5907" width="19.85546875" style="2" bestFit="1" customWidth="1"/>
    <col min="5908" max="5908" width="18.7109375" style="2" bestFit="1" customWidth="1"/>
    <col min="5909" max="5909" width="14.5703125" style="2" customWidth="1"/>
    <col min="5910" max="5910" width="9.140625" style="2"/>
    <col min="5911" max="5911" width="13.140625" style="2" bestFit="1" customWidth="1"/>
    <col min="5912" max="6144" width="9.140625" style="2"/>
    <col min="6145" max="6148" width="2.7109375" style="2" customWidth="1"/>
    <col min="6149" max="6149" width="50.5703125" style="2" customWidth="1"/>
    <col min="6150" max="6151" width="19.28515625" style="2" customWidth="1"/>
    <col min="6152" max="6152" width="18.5703125" style="2" customWidth="1"/>
    <col min="6153" max="6153" width="0.7109375" style="2" customWidth="1"/>
    <col min="6154" max="6154" width="24" style="2" bestFit="1" customWidth="1"/>
    <col min="6155" max="6155" width="18.7109375" style="2" bestFit="1" customWidth="1"/>
    <col min="6156" max="6156" width="19.42578125" style="2" bestFit="1" customWidth="1"/>
    <col min="6157" max="6157" width="0.5703125" style="2" customWidth="1"/>
    <col min="6158" max="6159" width="18.7109375" style="2" bestFit="1" customWidth="1"/>
    <col min="6160" max="6160" width="16.5703125" style="2" customWidth="1"/>
    <col min="6161" max="6161" width="0.7109375" style="2" customWidth="1"/>
    <col min="6162" max="6163" width="19.85546875" style="2" bestFit="1" customWidth="1"/>
    <col min="6164" max="6164" width="18.7109375" style="2" bestFit="1" customWidth="1"/>
    <col min="6165" max="6165" width="14.5703125" style="2" customWidth="1"/>
    <col min="6166" max="6166" width="9.140625" style="2"/>
    <col min="6167" max="6167" width="13.140625" style="2" bestFit="1" customWidth="1"/>
    <col min="6168" max="6400" width="9.140625" style="2"/>
    <col min="6401" max="6404" width="2.7109375" style="2" customWidth="1"/>
    <col min="6405" max="6405" width="50.5703125" style="2" customWidth="1"/>
    <col min="6406" max="6407" width="19.28515625" style="2" customWidth="1"/>
    <col min="6408" max="6408" width="18.5703125" style="2" customWidth="1"/>
    <col min="6409" max="6409" width="0.7109375" style="2" customWidth="1"/>
    <col min="6410" max="6410" width="24" style="2" bestFit="1" customWidth="1"/>
    <col min="6411" max="6411" width="18.7109375" style="2" bestFit="1" customWidth="1"/>
    <col min="6412" max="6412" width="19.42578125" style="2" bestFit="1" customWidth="1"/>
    <col min="6413" max="6413" width="0.5703125" style="2" customWidth="1"/>
    <col min="6414" max="6415" width="18.7109375" style="2" bestFit="1" customWidth="1"/>
    <col min="6416" max="6416" width="16.5703125" style="2" customWidth="1"/>
    <col min="6417" max="6417" width="0.7109375" style="2" customWidth="1"/>
    <col min="6418" max="6419" width="19.85546875" style="2" bestFit="1" customWidth="1"/>
    <col min="6420" max="6420" width="18.7109375" style="2" bestFit="1" customWidth="1"/>
    <col min="6421" max="6421" width="14.5703125" style="2" customWidth="1"/>
    <col min="6422" max="6422" width="9.140625" style="2"/>
    <col min="6423" max="6423" width="13.140625" style="2" bestFit="1" customWidth="1"/>
    <col min="6424" max="6656" width="9.140625" style="2"/>
    <col min="6657" max="6660" width="2.7109375" style="2" customWidth="1"/>
    <col min="6661" max="6661" width="50.5703125" style="2" customWidth="1"/>
    <col min="6662" max="6663" width="19.28515625" style="2" customWidth="1"/>
    <col min="6664" max="6664" width="18.5703125" style="2" customWidth="1"/>
    <col min="6665" max="6665" width="0.7109375" style="2" customWidth="1"/>
    <col min="6666" max="6666" width="24" style="2" bestFit="1" customWidth="1"/>
    <col min="6667" max="6667" width="18.7109375" style="2" bestFit="1" customWidth="1"/>
    <col min="6668" max="6668" width="19.42578125" style="2" bestFit="1" customWidth="1"/>
    <col min="6669" max="6669" width="0.5703125" style="2" customWidth="1"/>
    <col min="6670" max="6671" width="18.7109375" style="2" bestFit="1" customWidth="1"/>
    <col min="6672" max="6672" width="16.5703125" style="2" customWidth="1"/>
    <col min="6673" max="6673" width="0.7109375" style="2" customWidth="1"/>
    <col min="6674" max="6675" width="19.85546875" style="2" bestFit="1" customWidth="1"/>
    <col min="6676" max="6676" width="18.7109375" style="2" bestFit="1" customWidth="1"/>
    <col min="6677" max="6677" width="14.5703125" style="2" customWidth="1"/>
    <col min="6678" max="6678" width="9.140625" style="2"/>
    <col min="6679" max="6679" width="13.140625" style="2" bestFit="1" customWidth="1"/>
    <col min="6680" max="6912" width="9.140625" style="2"/>
    <col min="6913" max="6916" width="2.7109375" style="2" customWidth="1"/>
    <col min="6917" max="6917" width="50.5703125" style="2" customWidth="1"/>
    <col min="6918" max="6919" width="19.28515625" style="2" customWidth="1"/>
    <col min="6920" max="6920" width="18.5703125" style="2" customWidth="1"/>
    <col min="6921" max="6921" width="0.7109375" style="2" customWidth="1"/>
    <col min="6922" max="6922" width="24" style="2" bestFit="1" customWidth="1"/>
    <col min="6923" max="6923" width="18.7109375" style="2" bestFit="1" customWidth="1"/>
    <col min="6924" max="6924" width="19.42578125" style="2" bestFit="1" customWidth="1"/>
    <col min="6925" max="6925" width="0.5703125" style="2" customWidth="1"/>
    <col min="6926" max="6927" width="18.7109375" style="2" bestFit="1" customWidth="1"/>
    <col min="6928" max="6928" width="16.5703125" style="2" customWidth="1"/>
    <col min="6929" max="6929" width="0.7109375" style="2" customWidth="1"/>
    <col min="6930" max="6931" width="19.85546875" style="2" bestFit="1" customWidth="1"/>
    <col min="6932" max="6932" width="18.7109375" style="2" bestFit="1" customWidth="1"/>
    <col min="6933" max="6933" width="14.5703125" style="2" customWidth="1"/>
    <col min="6934" max="6934" width="9.140625" style="2"/>
    <col min="6935" max="6935" width="13.140625" style="2" bestFit="1" customWidth="1"/>
    <col min="6936" max="7168" width="9.140625" style="2"/>
    <col min="7169" max="7172" width="2.7109375" style="2" customWidth="1"/>
    <col min="7173" max="7173" width="50.5703125" style="2" customWidth="1"/>
    <col min="7174" max="7175" width="19.28515625" style="2" customWidth="1"/>
    <col min="7176" max="7176" width="18.5703125" style="2" customWidth="1"/>
    <col min="7177" max="7177" width="0.7109375" style="2" customWidth="1"/>
    <col min="7178" max="7178" width="24" style="2" bestFit="1" customWidth="1"/>
    <col min="7179" max="7179" width="18.7109375" style="2" bestFit="1" customWidth="1"/>
    <col min="7180" max="7180" width="19.42578125" style="2" bestFit="1" customWidth="1"/>
    <col min="7181" max="7181" width="0.5703125" style="2" customWidth="1"/>
    <col min="7182" max="7183" width="18.7109375" style="2" bestFit="1" customWidth="1"/>
    <col min="7184" max="7184" width="16.5703125" style="2" customWidth="1"/>
    <col min="7185" max="7185" width="0.7109375" style="2" customWidth="1"/>
    <col min="7186" max="7187" width="19.85546875" style="2" bestFit="1" customWidth="1"/>
    <col min="7188" max="7188" width="18.7109375" style="2" bestFit="1" customWidth="1"/>
    <col min="7189" max="7189" width="14.5703125" style="2" customWidth="1"/>
    <col min="7190" max="7190" width="9.140625" style="2"/>
    <col min="7191" max="7191" width="13.140625" style="2" bestFit="1" customWidth="1"/>
    <col min="7192" max="7424" width="9.140625" style="2"/>
    <col min="7425" max="7428" width="2.7109375" style="2" customWidth="1"/>
    <col min="7429" max="7429" width="50.5703125" style="2" customWidth="1"/>
    <col min="7430" max="7431" width="19.28515625" style="2" customWidth="1"/>
    <col min="7432" max="7432" width="18.5703125" style="2" customWidth="1"/>
    <col min="7433" max="7433" width="0.7109375" style="2" customWidth="1"/>
    <col min="7434" max="7434" width="24" style="2" bestFit="1" customWidth="1"/>
    <col min="7435" max="7435" width="18.7109375" style="2" bestFit="1" customWidth="1"/>
    <col min="7436" max="7436" width="19.42578125" style="2" bestFit="1" customWidth="1"/>
    <col min="7437" max="7437" width="0.5703125" style="2" customWidth="1"/>
    <col min="7438" max="7439" width="18.7109375" style="2" bestFit="1" customWidth="1"/>
    <col min="7440" max="7440" width="16.5703125" style="2" customWidth="1"/>
    <col min="7441" max="7441" width="0.7109375" style="2" customWidth="1"/>
    <col min="7442" max="7443" width="19.85546875" style="2" bestFit="1" customWidth="1"/>
    <col min="7444" max="7444" width="18.7109375" style="2" bestFit="1" customWidth="1"/>
    <col min="7445" max="7445" width="14.5703125" style="2" customWidth="1"/>
    <col min="7446" max="7446" width="9.140625" style="2"/>
    <col min="7447" max="7447" width="13.140625" style="2" bestFit="1" customWidth="1"/>
    <col min="7448" max="7680" width="9.140625" style="2"/>
    <col min="7681" max="7684" width="2.7109375" style="2" customWidth="1"/>
    <col min="7685" max="7685" width="50.5703125" style="2" customWidth="1"/>
    <col min="7686" max="7687" width="19.28515625" style="2" customWidth="1"/>
    <col min="7688" max="7688" width="18.5703125" style="2" customWidth="1"/>
    <col min="7689" max="7689" width="0.7109375" style="2" customWidth="1"/>
    <col min="7690" max="7690" width="24" style="2" bestFit="1" customWidth="1"/>
    <col min="7691" max="7691" width="18.7109375" style="2" bestFit="1" customWidth="1"/>
    <col min="7692" max="7692" width="19.42578125" style="2" bestFit="1" customWidth="1"/>
    <col min="7693" max="7693" width="0.5703125" style="2" customWidth="1"/>
    <col min="7694" max="7695" width="18.7109375" style="2" bestFit="1" customWidth="1"/>
    <col min="7696" max="7696" width="16.5703125" style="2" customWidth="1"/>
    <col min="7697" max="7697" width="0.7109375" style="2" customWidth="1"/>
    <col min="7698" max="7699" width="19.85546875" style="2" bestFit="1" customWidth="1"/>
    <col min="7700" max="7700" width="18.7109375" style="2" bestFit="1" customWidth="1"/>
    <col min="7701" max="7701" width="14.5703125" style="2" customWidth="1"/>
    <col min="7702" max="7702" width="9.140625" style="2"/>
    <col min="7703" max="7703" width="13.140625" style="2" bestFit="1" customWidth="1"/>
    <col min="7704" max="7936" width="9.140625" style="2"/>
    <col min="7937" max="7940" width="2.7109375" style="2" customWidth="1"/>
    <col min="7941" max="7941" width="50.5703125" style="2" customWidth="1"/>
    <col min="7942" max="7943" width="19.28515625" style="2" customWidth="1"/>
    <col min="7944" max="7944" width="18.5703125" style="2" customWidth="1"/>
    <col min="7945" max="7945" width="0.7109375" style="2" customWidth="1"/>
    <col min="7946" max="7946" width="24" style="2" bestFit="1" customWidth="1"/>
    <col min="7947" max="7947" width="18.7109375" style="2" bestFit="1" customWidth="1"/>
    <col min="7948" max="7948" width="19.42578125" style="2" bestFit="1" customWidth="1"/>
    <col min="7949" max="7949" width="0.5703125" style="2" customWidth="1"/>
    <col min="7950" max="7951" width="18.7109375" style="2" bestFit="1" customWidth="1"/>
    <col min="7952" max="7952" width="16.5703125" style="2" customWidth="1"/>
    <col min="7953" max="7953" width="0.7109375" style="2" customWidth="1"/>
    <col min="7954" max="7955" width="19.85546875" style="2" bestFit="1" customWidth="1"/>
    <col min="7956" max="7956" width="18.7109375" style="2" bestFit="1" customWidth="1"/>
    <col min="7957" max="7957" width="14.5703125" style="2" customWidth="1"/>
    <col min="7958" max="7958" width="9.140625" style="2"/>
    <col min="7959" max="7959" width="13.140625" style="2" bestFit="1" customWidth="1"/>
    <col min="7960" max="8192" width="9.140625" style="2"/>
    <col min="8193" max="8196" width="2.7109375" style="2" customWidth="1"/>
    <col min="8197" max="8197" width="50.5703125" style="2" customWidth="1"/>
    <col min="8198" max="8199" width="19.28515625" style="2" customWidth="1"/>
    <col min="8200" max="8200" width="18.5703125" style="2" customWidth="1"/>
    <col min="8201" max="8201" width="0.7109375" style="2" customWidth="1"/>
    <col min="8202" max="8202" width="24" style="2" bestFit="1" customWidth="1"/>
    <col min="8203" max="8203" width="18.7109375" style="2" bestFit="1" customWidth="1"/>
    <col min="8204" max="8204" width="19.42578125" style="2" bestFit="1" customWidth="1"/>
    <col min="8205" max="8205" width="0.5703125" style="2" customWidth="1"/>
    <col min="8206" max="8207" width="18.7109375" style="2" bestFit="1" customWidth="1"/>
    <col min="8208" max="8208" width="16.5703125" style="2" customWidth="1"/>
    <col min="8209" max="8209" width="0.7109375" style="2" customWidth="1"/>
    <col min="8210" max="8211" width="19.85546875" style="2" bestFit="1" customWidth="1"/>
    <col min="8212" max="8212" width="18.7109375" style="2" bestFit="1" customWidth="1"/>
    <col min="8213" max="8213" width="14.5703125" style="2" customWidth="1"/>
    <col min="8214" max="8214" width="9.140625" style="2"/>
    <col min="8215" max="8215" width="13.140625" style="2" bestFit="1" customWidth="1"/>
    <col min="8216" max="8448" width="9.140625" style="2"/>
    <col min="8449" max="8452" width="2.7109375" style="2" customWidth="1"/>
    <col min="8453" max="8453" width="50.5703125" style="2" customWidth="1"/>
    <col min="8454" max="8455" width="19.28515625" style="2" customWidth="1"/>
    <col min="8456" max="8456" width="18.5703125" style="2" customWidth="1"/>
    <col min="8457" max="8457" width="0.7109375" style="2" customWidth="1"/>
    <col min="8458" max="8458" width="24" style="2" bestFit="1" customWidth="1"/>
    <col min="8459" max="8459" width="18.7109375" style="2" bestFit="1" customWidth="1"/>
    <col min="8460" max="8460" width="19.42578125" style="2" bestFit="1" customWidth="1"/>
    <col min="8461" max="8461" width="0.5703125" style="2" customWidth="1"/>
    <col min="8462" max="8463" width="18.7109375" style="2" bestFit="1" customWidth="1"/>
    <col min="8464" max="8464" width="16.5703125" style="2" customWidth="1"/>
    <col min="8465" max="8465" width="0.7109375" style="2" customWidth="1"/>
    <col min="8466" max="8467" width="19.85546875" style="2" bestFit="1" customWidth="1"/>
    <col min="8468" max="8468" width="18.7109375" style="2" bestFit="1" customWidth="1"/>
    <col min="8469" max="8469" width="14.5703125" style="2" customWidth="1"/>
    <col min="8470" max="8470" width="9.140625" style="2"/>
    <col min="8471" max="8471" width="13.140625" style="2" bestFit="1" customWidth="1"/>
    <col min="8472" max="8704" width="9.140625" style="2"/>
    <col min="8705" max="8708" width="2.7109375" style="2" customWidth="1"/>
    <col min="8709" max="8709" width="50.5703125" style="2" customWidth="1"/>
    <col min="8710" max="8711" width="19.28515625" style="2" customWidth="1"/>
    <col min="8712" max="8712" width="18.5703125" style="2" customWidth="1"/>
    <col min="8713" max="8713" width="0.7109375" style="2" customWidth="1"/>
    <col min="8714" max="8714" width="24" style="2" bestFit="1" customWidth="1"/>
    <col min="8715" max="8715" width="18.7109375" style="2" bestFit="1" customWidth="1"/>
    <col min="8716" max="8716" width="19.42578125" style="2" bestFit="1" customWidth="1"/>
    <col min="8717" max="8717" width="0.5703125" style="2" customWidth="1"/>
    <col min="8718" max="8719" width="18.7109375" style="2" bestFit="1" customWidth="1"/>
    <col min="8720" max="8720" width="16.5703125" style="2" customWidth="1"/>
    <col min="8721" max="8721" width="0.7109375" style="2" customWidth="1"/>
    <col min="8722" max="8723" width="19.85546875" style="2" bestFit="1" customWidth="1"/>
    <col min="8724" max="8724" width="18.7109375" style="2" bestFit="1" customWidth="1"/>
    <col min="8725" max="8725" width="14.5703125" style="2" customWidth="1"/>
    <col min="8726" max="8726" width="9.140625" style="2"/>
    <col min="8727" max="8727" width="13.140625" style="2" bestFit="1" customWidth="1"/>
    <col min="8728" max="8960" width="9.140625" style="2"/>
    <col min="8961" max="8964" width="2.7109375" style="2" customWidth="1"/>
    <col min="8965" max="8965" width="50.5703125" style="2" customWidth="1"/>
    <col min="8966" max="8967" width="19.28515625" style="2" customWidth="1"/>
    <col min="8968" max="8968" width="18.5703125" style="2" customWidth="1"/>
    <col min="8969" max="8969" width="0.7109375" style="2" customWidth="1"/>
    <col min="8970" max="8970" width="24" style="2" bestFit="1" customWidth="1"/>
    <col min="8971" max="8971" width="18.7109375" style="2" bestFit="1" customWidth="1"/>
    <col min="8972" max="8972" width="19.42578125" style="2" bestFit="1" customWidth="1"/>
    <col min="8973" max="8973" width="0.5703125" style="2" customWidth="1"/>
    <col min="8974" max="8975" width="18.7109375" style="2" bestFit="1" customWidth="1"/>
    <col min="8976" max="8976" width="16.5703125" style="2" customWidth="1"/>
    <col min="8977" max="8977" width="0.7109375" style="2" customWidth="1"/>
    <col min="8978" max="8979" width="19.85546875" style="2" bestFit="1" customWidth="1"/>
    <col min="8980" max="8980" width="18.7109375" style="2" bestFit="1" customWidth="1"/>
    <col min="8981" max="8981" width="14.5703125" style="2" customWidth="1"/>
    <col min="8982" max="8982" width="9.140625" style="2"/>
    <col min="8983" max="8983" width="13.140625" style="2" bestFit="1" customWidth="1"/>
    <col min="8984" max="9216" width="9.140625" style="2"/>
    <col min="9217" max="9220" width="2.7109375" style="2" customWidth="1"/>
    <col min="9221" max="9221" width="50.5703125" style="2" customWidth="1"/>
    <col min="9222" max="9223" width="19.28515625" style="2" customWidth="1"/>
    <col min="9224" max="9224" width="18.5703125" style="2" customWidth="1"/>
    <col min="9225" max="9225" width="0.7109375" style="2" customWidth="1"/>
    <col min="9226" max="9226" width="24" style="2" bestFit="1" customWidth="1"/>
    <col min="9227" max="9227" width="18.7109375" style="2" bestFit="1" customWidth="1"/>
    <col min="9228" max="9228" width="19.42578125" style="2" bestFit="1" customWidth="1"/>
    <col min="9229" max="9229" width="0.5703125" style="2" customWidth="1"/>
    <col min="9230" max="9231" width="18.7109375" style="2" bestFit="1" customWidth="1"/>
    <col min="9232" max="9232" width="16.5703125" style="2" customWidth="1"/>
    <col min="9233" max="9233" width="0.7109375" style="2" customWidth="1"/>
    <col min="9234" max="9235" width="19.85546875" style="2" bestFit="1" customWidth="1"/>
    <col min="9236" max="9236" width="18.7109375" style="2" bestFit="1" customWidth="1"/>
    <col min="9237" max="9237" width="14.5703125" style="2" customWidth="1"/>
    <col min="9238" max="9238" width="9.140625" style="2"/>
    <col min="9239" max="9239" width="13.140625" style="2" bestFit="1" customWidth="1"/>
    <col min="9240" max="9472" width="9.140625" style="2"/>
    <col min="9473" max="9476" width="2.7109375" style="2" customWidth="1"/>
    <col min="9477" max="9477" width="50.5703125" style="2" customWidth="1"/>
    <col min="9478" max="9479" width="19.28515625" style="2" customWidth="1"/>
    <col min="9480" max="9480" width="18.5703125" style="2" customWidth="1"/>
    <col min="9481" max="9481" width="0.7109375" style="2" customWidth="1"/>
    <col min="9482" max="9482" width="24" style="2" bestFit="1" customWidth="1"/>
    <col min="9483" max="9483" width="18.7109375" style="2" bestFit="1" customWidth="1"/>
    <col min="9484" max="9484" width="19.42578125" style="2" bestFit="1" customWidth="1"/>
    <col min="9485" max="9485" width="0.5703125" style="2" customWidth="1"/>
    <col min="9486" max="9487" width="18.7109375" style="2" bestFit="1" customWidth="1"/>
    <col min="9488" max="9488" width="16.5703125" style="2" customWidth="1"/>
    <col min="9489" max="9489" width="0.7109375" style="2" customWidth="1"/>
    <col min="9490" max="9491" width="19.85546875" style="2" bestFit="1" customWidth="1"/>
    <col min="9492" max="9492" width="18.7109375" style="2" bestFit="1" customWidth="1"/>
    <col min="9493" max="9493" width="14.5703125" style="2" customWidth="1"/>
    <col min="9494" max="9494" width="9.140625" style="2"/>
    <col min="9495" max="9495" width="13.140625" style="2" bestFit="1" customWidth="1"/>
    <col min="9496" max="9728" width="9.140625" style="2"/>
    <col min="9729" max="9732" width="2.7109375" style="2" customWidth="1"/>
    <col min="9733" max="9733" width="50.5703125" style="2" customWidth="1"/>
    <col min="9734" max="9735" width="19.28515625" style="2" customWidth="1"/>
    <col min="9736" max="9736" width="18.5703125" style="2" customWidth="1"/>
    <col min="9737" max="9737" width="0.7109375" style="2" customWidth="1"/>
    <col min="9738" max="9738" width="24" style="2" bestFit="1" customWidth="1"/>
    <col min="9739" max="9739" width="18.7109375" style="2" bestFit="1" customWidth="1"/>
    <col min="9740" max="9740" width="19.42578125" style="2" bestFit="1" customWidth="1"/>
    <col min="9741" max="9741" width="0.5703125" style="2" customWidth="1"/>
    <col min="9742" max="9743" width="18.7109375" style="2" bestFit="1" customWidth="1"/>
    <col min="9744" max="9744" width="16.5703125" style="2" customWidth="1"/>
    <col min="9745" max="9745" width="0.7109375" style="2" customWidth="1"/>
    <col min="9746" max="9747" width="19.85546875" style="2" bestFit="1" customWidth="1"/>
    <col min="9748" max="9748" width="18.7109375" style="2" bestFit="1" customWidth="1"/>
    <col min="9749" max="9749" width="14.5703125" style="2" customWidth="1"/>
    <col min="9750" max="9750" width="9.140625" style="2"/>
    <col min="9751" max="9751" width="13.140625" style="2" bestFit="1" customWidth="1"/>
    <col min="9752" max="9984" width="9.140625" style="2"/>
    <col min="9985" max="9988" width="2.7109375" style="2" customWidth="1"/>
    <col min="9989" max="9989" width="50.5703125" style="2" customWidth="1"/>
    <col min="9990" max="9991" width="19.28515625" style="2" customWidth="1"/>
    <col min="9992" max="9992" width="18.5703125" style="2" customWidth="1"/>
    <col min="9993" max="9993" width="0.7109375" style="2" customWidth="1"/>
    <col min="9994" max="9994" width="24" style="2" bestFit="1" customWidth="1"/>
    <col min="9995" max="9995" width="18.7109375" style="2" bestFit="1" customWidth="1"/>
    <col min="9996" max="9996" width="19.42578125" style="2" bestFit="1" customWidth="1"/>
    <col min="9997" max="9997" width="0.5703125" style="2" customWidth="1"/>
    <col min="9998" max="9999" width="18.7109375" style="2" bestFit="1" customWidth="1"/>
    <col min="10000" max="10000" width="16.5703125" style="2" customWidth="1"/>
    <col min="10001" max="10001" width="0.7109375" style="2" customWidth="1"/>
    <col min="10002" max="10003" width="19.85546875" style="2" bestFit="1" customWidth="1"/>
    <col min="10004" max="10004" width="18.7109375" style="2" bestFit="1" customWidth="1"/>
    <col min="10005" max="10005" width="14.5703125" style="2" customWidth="1"/>
    <col min="10006" max="10006" width="9.140625" style="2"/>
    <col min="10007" max="10007" width="13.140625" style="2" bestFit="1" customWidth="1"/>
    <col min="10008" max="10240" width="9.140625" style="2"/>
    <col min="10241" max="10244" width="2.7109375" style="2" customWidth="1"/>
    <col min="10245" max="10245" width="50.5703125" style="2" customWidth="1"/>
    <col min="10246" max="10247" width="19.28515625" style="2" customWidth="1"/>
    <col min="10248" max="10248" width="18.5703125" style="2" customWidth="1"/>
    <col min="10249" max="10249" width="0.7109375" style="2" customWidth="1"/>
    <col min="10250" max="10250" width="24" style="2" bestFit="1" customWidth="1"/>
    <col min="10251" max="10251" width="18.7109375" style="2" bestFit="1" customWidth="1"/>
    <col min="10252" max="10252" width="19.42578125" style="2" bestFit="1" customWidth="1"/>
    <col min="10253" max="10253" width="0.5703125" style="2" customWidth="1"/>
    <col min="10254" max="10255" width="18.7109375" style="2" bestFit="1" customWidth="1"/>
    <col min="10256" max="10256" width="16.5703125" style="2" customWidth="1"/>
    <col min="10257" max="10257" width="0.7109375" style="2" customWidth="1"/>
    <col min="10258" max="10259" width="19.85546875" style="2" bestFit="1" customWidth="1"/>
    <col min="10260" max="10260" width="18.7109375" style="2" bestFit="1" customWidth="1"/>
    <col min="10261" max="10261" width="14.5703125" style="2" customWidth="1"/>
    <col min="10262" max="10262" width="9.140625" style="2"/>
    <col min="10263" max="10263" width="13.140625" style="2" bestFit="1" customWidth="1"/>
    <col min="10264" max="10496" width="9.140625" style="2"/>
    <col min="10497" max="10500" width="2.7109375" style="2" customWidth="1"/>
    <col min="10501" max="10501" width="50.5703125" style="2" customWidth="1"/>
    <col min="10502" max="10503" width="19.28515625" style="2" customWidth="1"/>
    <col min="10504" max="10504" width="18.5703125" style="2" customWidth="1"/>
    <col min="10505" max="10505" width="0.7109375" style="2" customWidth="1"/>
    <col min="10506" max="10506" width="24" style="2" bestFit="1" customWidth="1"/>
    <col min="10507" max="10507" width="18.7109375" style="2" bestFit="1" customWidth="1"/>
    <col min="10508" max="10508" width="19.42578125" style="2" bestFit="1" customWidth="1"/>
    <col min="10509" max="10509" width="0.5703125" style="2" customWidth="1"/>
    <col min="10510" max="10511" width="18.7109375" style="2" bestFit="1" customWidth="1"/>
    <col min="10512" max="10512" width="16.5703125" style="2" customWidth="1"/>
    <col min="10513" max="10513" width="0.7109375" style="2" customWidth="1"/>
    <col min="10514" max="10515" width="19.85546875" style="2" bestFit="1" customWidth="1"/>
    <col min="10516" max="10516" width="18.7109375" style="2" bestFit="1" customWidth="1"/>
    <col min="10517" max="10517" width="14.5703125" style="2" customWidth="1"/>
    <col min="10518" max="10518" width="9.140625" style="2"/>
    <col min="10519" max="10519" width="13.140625" style="2" bestFit="1" customWidth="1"/>
    <col min="10520" max="10752" width="9.140625" style="2"/>
    <col min="10753" max="10756" width="2.7109375" style="2" customWidth="1"/>
    <col min="10757" max="10757" width="50.5703125" style="2" customWidth="1"/>
    <col min="10758" max="10759" width="19.28515625" style="2" customWidth="1"/>
    <col min="10760" max="10760" width="18.5703125" style="2" customWidth="1"/>
    <col min="10761" max="10761" width="0.7109375" style="2" customWidth="1"/>
    <col min="10762" max="10762" width="24" style="2" bestFit="1" customWidth="1"/>
    <col min="10763" max="10763" width="18.7109375" style="2" bestFit="1" customWidth="1"/>
    <col min="10764" max="10764" width="19.42578125" style="2" bestFit="1" customWidth="1"/>
    <col min="10765" max="10765" width="0.5703125" style="2" customWidth="1"/>
    <col min="10766" max="10767" width="18.7109375" style="2" bestFit="1" customWidth="1"/>
    <col min="10768" max="10768" width="16.5703125" style="2" customWidth="1"/>
    <col min="10769" max="10769" width="0.7109375" style="2" customWidth="1"/>
    <col min="10770" max="10771" width="19.85546875" style="2" bestFit="1" customWidth="1"/>
    <col min="10772" max="10772" width="18.7109375" style="2" bestFit="1" customWidth="1"/>
    <col min="10773" max="10773" width="14.5703125" style="2" customWidth="1"/>
    <col min="10774" max="10774" width="9.140625" style="2"/>
    <col min="10775" max="10775" width="13.140625" style="2" bestFit="1" customWidth="1"/>
    <col min="10776" max="11008" width="9.140625" style="2"/>
    <col min="11009" max="11012" width="2.7109375" style="2" customWidth="1"/>
    <col min="11013" max="11013" width="50.5703125" style="2" customWidth="1"/>
    <col min="11014" max="11015" width="19.28515625" style="2" customWidth="1"/>
    <col min="11016" max="11016" width="18.5703125" style="2" customWidth="1"/>
    <col min="11017" max="11017" width="0.7109375" style="2" customWidth="1"/>
    <col min="11018" max="11018" width="24" style="2" bestFit="1" customWidth="1"/>
    <col min="11019" max="11019" width="18.7109375" style="2" bestFit="1" customWidth="1"/>
    <col min="11020" max="11020" width="19.42578125" style="2" bestFit="1" customWidth="1"/>
    <col min="11021" max="11021" width="0.5703125" style="2" customWidth="1"/>
    <col min="11022" max="11023" width="18.7109375" style="2" bestFit="1" customWidth="1"/>
    <col min="11024" max="11024" width="16.5703125" style="2" customWidth="1"/>
    <col min="11025" max="11025" width="0.7109375" style="2" customWidth="1"/>
    <col min="11026" max="11027" width="19.85546875" style="2" bestFit="1" customWidth="1"/>
    <col min="11028" max="11028" width="18.7109375" style="2" bestFit="1" customWidth="1"/>
    <col min="11029" max="11029" width="14.5703125" style="2" customWidth="1"/>
    <col min="11030" max="11030" width="9.140625" style="2"/>
    <col min="11031" max="11031" width="13.140625" style="2" bestFit="1" customWidth="1"/>
    <col min="11032" max="11264" width="9.140625" style="2"/>
    <col min="11265" max="11268" width="2.7109375" style="2" customWidth="1"/>
    <col min="11269" max="11269" width="50.5703125" style="2" customWidth="1"/>
    <col min="11270" max="11271" width="19.28515625" style="2" customWidth="1"/>
    <col min="11272" max="11272" width="18.5703125" style="2" customWidth="1"/>
    <col min="11273" max="11273" width="0.7109375" style="2" customWidth="1"/>
    <col min="11274" max="11274" width="24" style="2" bestFit="1" customWidth="1"/>
    <col min="11275" max="11275" width="18.7109375" style="2" bestFit="1" customWidth="1"/>
    <col min="11276" max="11276" width="19.42578125" style="2" bestFit="1" customWidth="1"/>
    <col min="11277" max="11277" width="0.5703125" style="2" customWidth="1"/>
    <col min="11278" max="11279" width="18.7109375" style="2" bestFit="1" customWidth="1"/>
    <col min="11280" max="11280" width="16.5703125" style="2" customWidth="1"/>
    <col min="11281" max="11281" width="0.7109375" style="2" customWidth="1"/>
    <col min="11282" max="11283" width="19.85546875" style="2" bestFit="1" customWidth="1"/>
    <col min="11284" max="11284" width="18.7109375" style="2" bestFit="1" customWidth="1"/>
    <col min="11285" max="11285" width="14.5703125" style="2" customWidth="1"/>
    <col min="11286" max="11286" width="9.140625" style="2"/>
    <col min="11287" max="11287" width="13.140625" style="2" bestFit="1" customWidth="1"/>
    <col min="11288" max="11520" width="9.140625" style="2"/>
    <col min="11521" max="11524" width="2.7109375" style="2" customWidth="1"/>
    <col min="11525" max="11525" width="50.5703125" style="2" customWidth="1"/>
    <col min="11526" max="11527" width="19.28515625" style="2" customWidth="1"/>
    <col min="11528" max="11528" width="18.5703125" style="2" customWidth="1"/>
    <col min="11529" max="11529" width="0.7109375" style="2" customWidth="1"/>
    <col min="11530" max="11530" width="24" style="2" bestFit="1" customWidth="1"/>
    <col min="11531" max="11531" width="18.7109375" style="2" bestFit="1" customWidth="1"/>
    <col min="11532" max="11532" width="19.42578125" style="2" bestFit="1" customWidth="1"/>
    <col min="11533" max="11533" width="0.5703125" style="2" customWidth="1"/>
    <col min="11534" max="11535" width="18.7109375" style="2" bestFit="1" customWidth="1"/>
    <col min="11536" max="11536" width="16.5703125" style="2" customWidth="1"/>
    <col min="11537" max="11537" width="0.7109375" style="2" customWidth="1"/>
    <col min="11538" max="11539" width="19.85546875" style="2" bestFit="1" customWidth="1"/>
    <col min="11540" max="11540" width="18.7109375" style="2" bestFit="1" customWidth="1"/>
    <col min="11541" max="11541" width="14.5703125" style="2" customWidth="1"/>
    <col min="11542" max="11542" width="9.140625" style="2"/>
    <col min="11543" max="11543" width="13.140625" style="2" bestFit="1" customWidth="1"/>
    <col min="11544" max="11776" width="9.140625" style="2"/>
    <col min="11777" max="11780" width="2.7109375" style="2" customWidth="1"/>
    <col min="11781" max="11781" width="50.5703125" style="2" customWidth="1"/>
    <col min="11782" max="11783" width="19.28515625" style="2" customWidth="1"/>
    <col min="11784" max="11784" width="18.5703125" style="2" customWidth="1"/>
    <col min="11785" max="11785" width="0.7109375" style="2" customWidth="1"/>
    <col min="11786" max="11786" width="24" style="2" bestFit="1" customWidth="1"/>
    <col min="11787" max="11787" width="18.7109375" style="2" bestFit="1" customWidth="1"/>
    <col min="11788" max="11788" width="19.42578125" style="2" bestFit="1" customWidth="1"/>
    <col min="11789" max="11789" width="0.5703125" style="2" customWidth="1"/>
    <col min="11790" max="11791" width="18.7109375" style="2" bestFit="1" customWidth="1"/>
    <col min="11792" max="11792" width="16.5703125" style="2" customWidth="1"/>
    <col min="11793" max="11793" width="0.7109375" style="2" customWidth="1"/>
    <col min="11794" max="11795" width="19.85546875" style="2" bestFit="1" customWidth="1"/>
    <col min="11796" max="11796" width="18.7109375" style="2" bestFit="1" customWidth="1"/>
    <col min="11797" max="11797" width="14.5703125" style="2" customWidth="1"/>
    <col min="11798" max="11798" width="9.140625" style="2"/>
    <col min="11799" max="11799" width="13.140625" style="2" bestFit="1" customWidth="1"/>
    <col min="11800" max="12032" width="9.140625" style="2"/>
    <col min="12033" max="12036" width="2.7109375" style="2" customWidth="1"/>
    <col min="12037" max="12037" width="50.5703125" style="2" customWidth="1"/>
    <col min="12038" max="12039" width="19.28515625" style="2" customWidth="1"/>
    <col min="12040" max="12040" width="18.5703125" style="2" customWidth="1"/>
    <col min="12041" max="12041" width="0.7109375" style="2" customWidth="1"/>
    <col min="12042" max="12042" width="24" style="2" bestFit="1" customWidth="1"/>
    <col min="12043" max="12043" width="18.7109375" style="2" bestFit="1" customWidth="1"/>
    <col min="12044" max="12044" width="19.42578125" style="2" bestFit="1" customWidth="1"/>
    <col min="12045" max="12045" width="0.5703125" style="2" customWidth="1"/>
    <col min="12046" max="12047" width="18.7109375" style="2" bestFit="1" customWidth="1"/>
    <col min="12048" max="12048" width="16.5703125" style="2" customWidth="1"/>
    <col min="12049" max="12049" width="0.7109375" style="2" customWidth="1"/>
    <col min="12050" max="12051" width="19.85546875" style="2" bestFit="1" customWidth="1"/>
    <col min="12052" max="12052" width="18.7109375" style="2" bestFit="1" customWidth="1"/>
    <col min="12053" max="12053" width="14.5703125" style="2" customWidth="1"/>
    <col min="12054" max="12054" width="9.140625" style="2"/>
    <col min="12055" max="12055" width="13.140625" style="2" bestFit="1" customWidth="1"/>
    <col min="12056" max="12288" width="9.140625" style="2"/>
    <col min="12289" max="12292" width="2.7109375" style="2" customWidth="1"/>
    <col min="12293" max="12293" width="50.5703125" style="2" customWidth="1"/>
    <col min="12294" max="12295" width="19.28515625" style="2" customWidth="1"/>
    <col min="12296" max="12296" width="18.5703125" style="2" customWidth="1"/>
    <col min="12297" max="12297" width="0.7109375" style="2" customWidth="1"/>
    <col min="12298" max="12298" width="24" style="2" bestFit="1" customWidth="1"/>
    <col min="12299" max="12299" width="18.7109375" style="2" bestFit="1" customWidth="1"/>
    <col min="12300" max="12300" width="19.42578125" style="2" bestFit="1" customWidth="1"/>
    <col min="12301" max="12301" width="0.5703125" style="2" customWidth="1"/>
    <col min="12302" max="12303" width="18.7109375" style="2" bestFit="1" customWidth="1"/>
    <col min="12304" max="12304" width="16.5703125" style="2" customWidth="1"/>
    <col min="12305" max="12305" width="0.7109375" style="2" customWidth="1"/>
    <col min="12306" max="12307" width="19.85546875" style="2" bestFit="1" customWidth="1"/>
    <col min="12308" max="12308" width="18.7109375" style="2" bestFit="1" customWidth="1"/>
    <col min="12309" max="12309" width="14.5703125" style="2" customWidth="1"/>
    <col min="12310" max="12310" width="9.140625" style="2"/>
    <col min="12311" max="12311" width="13.140625" style="2" bestFit="1" customWidth="1"/>
    <col min="12312" max="12544" width="9.140625" style="2"/>
    <col min="12545" max="12548" width="2.7109375" style="2" customWidth="1"/>
    <col min="12549" max="12549" width="50.5703125" style="2" customWidth="1"/>
    <col min="12550" max="12551" width="19.28515625" style="2" customWidth="1"/>
    <col min="12552" max="12552" width="18.5703125" style="2" customWidth="1"/>
    <col min="12553" max="12553" width="0.7109375" style="2" customWidth="1"/>
    <col min="12554" max="12554" width="24" style="2" bestFit="1" customWidth="1"/>
    <col min="12555" max="12555" width="18.7109375" style="2" bestFit="1" customWidth="1"/>
    <col min="12556" max="12556" width="19.42578125" style="2" bestFit="1" customWidth="1"/>
    <col min="12557" max="12557" width="0.5703125" style="2" customWidth="1"/>
    <col min="12558" max="12559" width="18.7109375" style="2" bestFit="1" customWidth="1"/>
    <col min="12560" max="12560" width="16.5703125" style="2" customWidth="1"/>
    <col min="12561" max="12561" width="0.7109375" style="2" customWidth="1"/>
    <col min="12562" max="12563" width="19.85546875" style="2" bestFit="1" customWidth="1"/>
    <col min="12564" max="12564" width="18.7109375" style="2" bestFit="1" customWidth="1"/>
    <col min="12565" max="12565" width="14.5703125" style="2" customWidth="1"/>
    <col min="12566" max="12566" width="9.140625" style="2"/>
    <col min="12567" max="12567" width="13.140625" style="2" bestFit="1" customWidth="1"/>
    <col min="12568" max="12800" width="9.140625" style="2"/>
    <col min="12801" max="12804" width="2.7109375" style="2" customWidth="1"/>
    <col min="12805" max="12805" width="50.5703125" style="2" customWidth="1"/>
    <col min="12806" max="12807" width="19.28515625" style="2" customWidth="1"/>
    <col min="12808" max="12808" width="18.5703125" style="2" customWidth="1"/>
    <col min="12809" max="12809" width="0.7109375" style="2" customWidth="1"/>
    <col min="12810" max="12810" width="24" style="2" bestFit="1" customWidth="1"/>
    <col min="12811" max="12811" width="18.7109375" style="2" bestFit="1" customWidth="1"/>
    <col min="12812" max="12812" width="19.42578125" style="2" bestFit="1" customWidth="1"/>
    <col min="12813" max="12813" width="0.5703125" style="2" customWidth="1"/>
    <col min="12814" max="12815" width="18.7109375" style="2" bestFit="1" customWidth="1"/>
    <col min="12816" max="12816" width="16.5703125" style="2" customWidth="1"/>
    <col min="12817" max="12817" width="0.7109375" style="2" customWidth="1"/>
    <col min="12818" max="12819" width="19.85546875" style="2" bestFit="1" customWidth="1"/>
    <col min="12820" max="12820" width="18.7109375" style="2" bestFit="1" customWidth="1"/>
    <col min="12821" max="12821" width="14.5703125" style="2" customWidth="1"/>
    <col min="12822" max="12822" width="9.140625" style="2"/>
    <col min="12823" max="12823" width="13.140625" style="2" bestFit="1" customWidth="1"/>
    <col min="12824" max="13056" width="9.140625" style="2"/>
    <col min="13057" max="13060" width="2.7109375" style="2" customWidth="1"/>
    <col min="13061" max="13061" width="50.5703125" style="2" customWidth="1"/>
    <col min="13062" max="13063" width="19.28515625" style="2" customWidth="1"/>
    <col min="13064" max="13064" width="18.5703125" style="2" customWidth="1"/>
    <col min="13065" max="13065" width="0.7109375" style="2" customWidth="1"/>
    <col min="13066" max="13066" width="24" style="2" bestFit="1" customWidth="1"/>
    <col min="13067" max="13067" width="18.7109375" style="2" bestFit="1" customWidth="1"/>
    <col min="13068" max="13068" width="19.42578125" style="2" bestFit="1" customWidth="1"/>
    <col min="13069" max="13069" width="0.5703125" style="2" customWidth="1"/>
    <col min="13070" max="13071" width="18.7109375" style="2" bestFit="1" customWidth="1"/>
    <col min="13072" max="13072" width="16.5703125" style="2" customWidth="1"/>
    <col min="13073" max="13073" width="0.7109375" style="2" customWidth="1"/>
    <col min="13074" max="13075" width="19.85546875" style="2" bestFit="1" customWidth="1"/>
    <col min="13076" max="13076" width="18.7109375" style="2" bestFit="1" customWidth="1"/>
    <col min="13077" max="13077" width="14.5703125" style="2" customWidth="1"/>
    <col min="13078" max="13078" width="9.140625" style="2"/>
    <col min="13079" max="13079" width="13.140625" style="2" bestFit="1" customWidth="1"/>
    <col min="13080" max="13312" width="9.140625" style="2"/>
    <col min="13313" max="13316" width="2.7109375" style="2" customWidth="1"/>
    <col min="13317" max="13317" width="50.5703125" style="2" customWidth="1"/>
    <col min="13318" max="13319" width="19.28515625" style="2" customWidth="1"/>
    <col min="13320" max="13320" width="18.5703125" style="2" customWidth="1"/>
    <col min="13321" max="13321" width="0.7109375" style="2" customWidth="1"/>
    <col min="13322" max="13322" width="24" style="2" bestFit="1" customWidth="1"/>
    <col min="13323" max="13323" width="18.7109375" style="2" bestFit="1" customWidth="1"/>
    <col min="13324" max="13324" width="19.42578125" style="2" bestFit="1" customWidth="1"/>
    <col min="13325" max="13325" width="0.5703125" style="2" customWidth="1"/>
    <col min="13326" max="13327" width="18.7109375" style="2" bestFit="1" customWidth="1"/>
    <col min="13328" max="13328" width="16.5703125" style="2" customWidth="1"/>
    <col min="13329" max="13329" width="0.7109375" style="2" customWidth="1"/>
    <col min="13330" max="13331" width="19.85546875" style="2" bestFit="1" customWidth="1"/>
    <col min="13332" max="13332" width="18.7109375" style="2" bestFit="1" customWidth="1"/>
    <col min="13333" max="13333" width="14.5703125" style="2" customWidth="1"/>
    <col min="13334" max="13334" width="9.140625" style="2"/>
    <col min="13335" max="13335" width="13.140625" style="2" bestFit="1" customWidth="1"/>
    <col min="13336" max="13568" width="9.140625" style="2"/>
    <col min="13569" max="13572" width="2.7109375" style="2" customWidth="1"/>
    <col min="13573" max="13573" width="50.5703125" style="2" customWidth="1"/>
    <col min="13574" max="13575" width="19.28515625" style="2" customWidth="1"/>
    <col min="13576" max="13576" width="18.5703125" style="2" customWidth="1"/>
    <col min="13577" max="13577" width="0.7109375" style="2" customWidth="1"/>
    <col min="13578" max="13578" width="24" style="2" bestFit="1" customWidth="1"/>
    <col min="13579" max="13579" width="18.7109375" style="2" bestFit="1" customWidth="1"/>
    <col min="13580" max="13580" width="19.42578125" style="2" bestFit="1" customWidth="1"/>
    <col min="13581" max="13581" width="0.5703125" style="2" customWidth="1"/>
    <col min="13582" max="13583" width="18.7109375" style="2" bestFit="1" customWidth="1"/>
    <col min="13584" max="13584" width="16.5703125" style="2" customWidth="1"/>
    <col min="13585" max="13585" width="0.7109375" style="2" customWidth="1"/>
    <col min="13586" max="13587" width="19.85546875" style="2" bestFit="1" customWidth="1"/>
    <col min="13588" max="13588" width="18.7109375" style="2" bestFit="1" customWidth="1"/>
    <col min="13589" max="13589" width="14.5703125" style="2" customWidth="1"/>
    <col min="13590" max="13590" width="9.140625" style="2"/>
    <col min="13591" max="13591" width="13.140625" style="2" bestFit="1" customWidth="1"/>
    <col min="13592" max="13824" width="9.140625" style="2"/>
    <col min="13825" max="13828" width="2.7109375" style="2" customWidth="1"/>
    <col min="13829" max="13829" width="50.5703125" style="2" customWidth="1"/>
    <col min="13830" max="13831" width="19.28515625" style="2" customWidth="1"/>
    <col min="13832" max="13832" width="18.5703125" style="2" customWidth="1"/>
    <col min="13833" max="13833" width="0.7109375" style="2" customWidth="1"/>
    <col min="13834" max="13834" width="24" style="2" bestFit="1" customWidth="1"/>
    <col min="13835" max="13835" width="18.7109375" style="2" bestFit="1" customWidth="1"/>
    <col min="13836" max="13836" width="19.42578125" style="2" bestFit="1" customWidth="1"/>
    <col min="13837" max="13837" width="0.5703125" style="2" customWidth="1"/>
    <col min="13838" max="13839" width="18.7109375" style="2" bestFit="1" customWidth="1"/>
    <col min="13840" max="13840" width="16.5703125" style="2" customWidth="1"/>
    <col min="13841" max="13841" width="0.7109375" style="2" customWidth="1"/>
    <col min="13842" max="13843" width="19.85546875" style="2" bestFit="1" customWidth="1"/>
    <col min="13844" max="13844" width="18.7109375" style="2" bestFit="1" customWidth="1"/>
    <col min="13845" max="13845" width="14.5703125" style="2" customWidth="1"/>
    <col min="13846" max="13846" width="9.140625" style="2"/>
    <col min="13847" max="13847" width="13.140625" style="2" bestFit="1" customWidth="1"/>
    <col min="13848" max="14080" width="9.140625" style="2"/>
    <col min="14081" max="14084" width="2.7109375" style="2" customWidth="1"/>
    <col min="14085" max="14085" width="50.5703125" style="2" customWidth="1"/>
    <col min="14086" max="14087" width="19.28515625" style="2" customWidth="1"/>
    <col min="14088" max="14088" width="18.5703125" style="2" customWidth="1"/>
    <col min="14089" max="14089" width="0.7109375" style="2" customWidth="1"/>
    <col min="14090" max="14090" width="24" style="2" bestFit="1" customWidth="1"/>
    <col min="14091" max="14091" width="18.7109375" style="2" bestFit="1" customWidth="1"/>
    <col min="14092" max="14092" width="19.42578125" style="2" bestFit="1" customWidth="1"/>
    <col min="14093" max="14093" width="0.5703125" style="2" customWidth="1"/>
    <col min="14094" max="14095" width="18.7109375" style="2" bestFit="1" customWidth="1"/>
    <col min="14096" max="14096" width="16.5703125" style="2" customWidth="1"/>
    <col min="14097" max="14097" width="0.7109375" style="2" customWidth="1"/>
    <col min="14098" max="14099" width="19.85546875" style="2" bestFit="1" customWidth="1"/>
    <col min="14100" max="14100" width="18.7109375" style="2" bestFit="1" customWidth="1"/>
    <col min="14101" max="14101" width="14.5703125" style="2" customWidth="1"/>
    <col min="14102" max="14102" width="9.140625" style="2"/>
    <col min="14103" max="14103" width="13.140625" style="2" bestFit="1" customWidth="1"/>
    <col min="14104" max="14336" width="9.140625" style="2"/>
    <col min="14337" max="14340" width="2.7109375" style="2" customWidth="1"/>
    <col min="14341" max="14341" width="50.5703125" style="2" customWidth="1"/>
    <col min="14342" max="14343" width="19.28515625" style="2" customWidth="1"/>
    <col min="14344" max="14344" width="18.5703125" style="2" customWidth="1"/>
    <col min="14345" max="14345" width="0.7109375" style="2" customWidth="1"/>
    <col min="14346" max="14346" width="24" style="2" bestFit="1" customWidth="1"/>
    <col min="14347" max="14347" width="18.7109375" style="2" bestFit="1" customWidth="1"/>
    <col min="14348" max="14348" width="19.42578125" style="2" bestFit="1" customWidth="1"/>
    <col min="14349" max="14349" width="0.5703125" style="2" customWidth="1"/>
    <col min="14350" max="14351" width="18.7109375" style="2" bestFit="1" customWidth="1"/>
    <col min="14352" max="14352" width="16.5703125" style="2" customWidth="1"/>
    <col min="14353" max="14353" width="0.7109375" style="2" customWidth="1"/>
    <col min="14354" max="14355" width="19.85546875" style="2" bestFit="1" customWidth="1"/>
    <col min="14356" max="14356" width="18.7109375" style="2" bestFit="1" customWidth="1"/>
    <col min="14357" max="14357" width="14.5703125" style="2" customWidth="1"/>
    <col min="14358" max="14358" width="9.140625" style="2"/>
    <col min="14359" max="14359" width="13.140625" style="2" bestFit="1" customWidth="1"/>
    <col min="14360" max="14592" width="9.140625" style="2"/>
    <col min="14593" max="14596" width="2.7109375" style="2" customWidth="1"/>
    <col min="14597" max="14597" width="50.5703125" style="2" customWidth="1"/>
    <col min="14598" max="14599" width="19.28515625" style="2" customWidth="1"/>
    <col min="14600" max="14600" width="18.5703125" style="2" customWidth="1"/>
    <col min="14601" max="14601" width="0.7109375" style="2" customWidth="1"/>
    <col min="14602" max="14602" width="24" style="2" bestFit="1" customWidth="1"/>
    <col min="14603" max="14603" width="18.7109375" style="2" bestFit="1" customWidth="1"/>
    <col min="14604" max="14604" width="19.42578125" style="2" bestFit="1" customWidth="1"/>
    <col min="14605" max="14605" width="0.5703125" style="2" customWidth="1"/>
    <col min="14606" max="14607" width="18.7109375" style="2" bestFit="1" customWidth="1"/>
    <col min="14608" max="14608" width="16.5703125" style="2" customWidth="1"/>
    <col min="14609" max="14609" width="0.7109375" style="2" customWidth="1"/>
    <col min="14610" max="14611" width="19.85546875" style="2" bestFit="1" customWidth="1"/>
    <col min="14612" max="14612" width="18.7109375" style="2" bestFit="1" customWidth="1"/>
    <col min="14613" max="14613" width="14.5703125" style="2" customWidth="1"/>
    <col min="14614" max="14614" width="9.140625" style="2"/>
    <col min="14615" max="14615" width="13.140625" style="2" bestFit="1" customWidth="1"/>
    <col min="14616" max="14848" width="9.140625" style="2"/>
    <col min="14849" max="14852" width="2.7109375" style="2" customWidth="1"/>
    <col min="14853" max="14853" width="50.5703125" style="2" customWidth="1"/>
    <col min="14854" max="14855" width="19.28515625" style="2" customWidth="1"/>
    <col min="14856" max="14856" width="18.5703125" style="2" customWidth="1"/>
    <col min="14857" max="14857" width="0.7109375" style="2" customWidth="1"/>
    <col min="14858" max="14858" width="24" style="2" bestFit="1" customWidth="1"/>
    <col min="14859" max="14859" width="18.7109375" style="2" bestFit="1" customWidth="1"/>
    <col min="14860" max="14860" width="19.42578125" style="2" bestFit="1" customWidth="1"/>
    <col min="14861" max="14861" width="0.5703125" style="2" customWidth="1"/>
    <col min="14862" max="14863" width="18.7109375" style="2" bestFit="1" customWidth="1"/>
    <col min="14864" max="14864" width="16.5703125" style="2" customWidth="1"/>
    <col min="14865" max="14865" width="0.7109375" style="2" customWidth="1"/>
    <col min="14866" max="14867" width="19.85546875" style="2" bestFit="1" customWidth="1"/>
    <col min="14868" max="14868" width="18.7109375" style="2" bestFit="1" customWidth="1"/>
    <col min="14869" max="14869" width="14.5703125" style="2" customWidth="1"/>
    <col min="14870" max="14870" width="9.140625" style="2"/>
    <col min="14871" max="14871" width="13.140625" style="2" bestFit="1" customWidth="1"/>
    <col min="14872" max="15104" width="9.140625" style="2"/>
    <col min="15105" max="15108" width="2.7109375" style="2" customWidth="1"/>
    <col min="15109" max="15109" width="50.5703125" style="2" customWidth="1"/>
    <col min="15110" max="15111" width="19.28515625" style="2" customWidth="1"/>
    <col min="15112" max="15112" width="18.5703125" style="2" customWidth="1"/>
    <col min="15113" max="15113" width="0.7109375" style="2" customWidth="1"/>
    <col min="15114" max="15114" width="24" style="2" bestFit="1" customWidth="1"/>
    <col min="15115" max="15115" width="18.7109375" style="2" bestFit="1" customWidth="1"/>
    <col min="15116" max="15116" width="19.42578125" style="2" bestFit="1" customWidth="1"/>
    <col min="15117" max="15117" width="0.5703125" style="2" customWidth="1"/>
    <col min="15118" max="15119" width="18.7109375" style="2" bestFit="1" customWidth="1"/>
    <col min="15120" max="15120" width="16.5703125" style="2" customWidth="1"/>
    <col min="15121" max="15121" width="0.7109375" style="2" customWidth="1"/>
    <col min="15122" max="15123" width="19.85546875" style="2" bestFit="1" customWidth="1"/>
    <col min="15124" max="15124" width="18.7109375" style="2" bestFit="1" customWidth="1"/>
    <col min="15125" max="15125" width="14.5703125" style="2" customWidth="1"/>
    <col min="15126" max="15126" width="9.140625" style="2"/>
    <col min="15127" max="15127" width="13.140625" style="2" bestFit="1" customWidth="1"/>
    <col min="15128" max="15360" width="9.140625" style="2"/>
    <col min="15361" max="15364" width="2.7109375" style="2" customWidth="1"/>
    <col min="15365" max="15365" width="50.5703125" style="2" customWidth="1"/>
    <col min="15366" max="15367" width="19.28515625" style="2" customWidth="1"/>
    <col min="15368" max="15368" width="18.5703125" style="2" customWidth="1"/>
    <col min="15369" max="15369" width="0.7109375" style="2" customWidth="1"/>
    <col min="15370" max="15370" width="24" style="2" bestFit="1" customWidth="1"/>
    <col min="15371" max="15371" width="18.7109375" style="2" bestFit="1" customWidth="1"/>
    <col min="15372" max="15372" width="19.42578125" style="2" bestFit="1" customWidth="1"/>
    <col min="15373" max="15373" width="0.5703125" style="2" customWidth="1"/>
    <col min="15374" max="15375" width="18.7109375" style="2" bestFit="1" customWidth="1"/>
    <col min="15376" max="15376" width="16.5703125" style="2" customWidth="1"/>
    <col min="15377" max="15377" width="0.7109375" style="2" customWidth="1"/>
    <col min="15378" max="15379" width="19.85546875" style="2" bestFit="1" customWidth="1"/>
    <col min="15380" max="15380" width="18.7109375" style="2" bestFit="1" customWidth="1"/>
    <col min="15381" max="15381" width="14.5703125" style="2" customWidth="1"/>
    <col min="15382" max="15382" width="9.140625" style="2"/>
    <col min="15383" max="15383" width="13.140625" style="2" bestFit="1" customWidth="1"/>
    <col min="15384" max="15616" width="9.140625" style="2"/>
    <col min="15617" max="15620" width="2.7109375" style="2" customWidth="1"/>
    <col min="15621" max="15621" width="50.5703125" style="2" customWidth="1"/>
    <col min="15622" max="15623" width="19.28515625" style="2" customWidth="1"/>
    <col min="15624" max="15624" width="18.5703125" style="2" customWidth="1"/>
    <col min="15625" max="15625" width="0.7109375" style="2" customWidth="1"/>
    <col min="15626" max="15626" width="24" style="2" bestFit="1" customWidth="1"/>
    <col min="15627" max="15627" width="18.7109375" style="2" bestFit="1" customWidth="1"/>
    <col min="15628" max="15628" width="19.42578125" style="2" bestFit="1" customWidth="1"/>
    <col min="15629" max="15629" width="0.5703125" style="2" customWidth="1"/>
    <col min="15630" max="15631" width="18.7109375" style="2" bestFit="1" customWidth="1"/>
    <col min="15632" max="15632" width="16.5703125" style="2" customWidth="1"/>
    <col min="15633" max="15633" width="0.7109375" style="2" customWidth="1"/>
    <col min="15634" max="15635" width="19.85546875" style="2" bestFit="1" customWidth="1"/>
    <col min="15636" max="15636" width="18.7109375" style="2" bestFit="1" customWidth="1"/>
    <col min="15637" max="15637" width="14.5703125" style="2" customWidth="1"/>
    <col min="15638" max="15638" width="9.140625" style="2"/>
    <col min="15639" max="15639" width="13.140625" style="2" bestFit="1" customWidth="1"/>
    <col min="15640" max="15872" width="9.140625" style="2"/>
    <col min="15873" max="15876" width="2.7109375" style="2" customWidth="1"/>
    <col min="15877" max="15877" width="50.5703125" style="2" customWidth="1"/>
    <col min="15878" max="15879" width="19.28515625" style="2" customWidth="1"/>
    <col min="15880" max="15880" width="18.5703125" style="2" customWidth="1"/>
    <col min="15881" max="15881" width="0.7109375" style="2" customWidth="1"/>
    <col min="15882" max="15882" width="24" style="2" bestFit="1" customWidth="1"/>
    <col min="15883" max="15883" width="18.7109375" style="2" bestFit="1" customWidth="1"/>
    <col min="15884" max="15884" width="19.42578125" style="2" bestFit="1" customWidth="1"/>
    <col min="15885" max="15885" width="0.5703125" style="2" customWidth="1"/>
    <col min="15886" max="15887" width="18.7109375" style="2" bestFit="1" customWidth="1"/>
    <col min="15888" max="15888" width="16.5703125" style="2" customWidth="1"/>
    <col min="15889" max="15889" width="0.7109375" style="2" customWidth="1"/>
    <col min="15890" max="15891" width="19.85546875" style="2" bestFit="1" customWidth="1"/>
    <col min="15892" max="15892" width="18.7109375" style="2" bestFit="1" customWidth="1"/>
    <col min="15893" max="15893" width="14.5703125" style="2" customWidth="1"/>
    <col min="15894" max="15894" width="9.140625" style="2"/>
    <col min="15895" max="15895" width="13.140625" style="2" bestFit="1" customWidth="1"/>
    <col min="15896" max="16128" width="9.140625" style="2"/>
    <col min="16129" max="16132" width="2.7109375" style="2" customWidth="1"/>
    <col min="16133" max="16133" width="50.5703125" style="2" customWidth="1"/>
    <col min="16134" max="16135" width="19.28515625" style="2" customWidth="1"/>
    <col min="16136" max="16136" width="18.5703125" style="2" customWidth="1"/>
    <col min="16137" max="16137" width="0.7109375" style="2" customWidth="1"/>
    <col min="16138" max="16138" width="24" style="2" bestFit="1" customWidth="1"/>
    <col min="16139" max="16139" width="18.7109375" style="2" bestFit="1" customWidth="1"/>
    <col min="16140" max="16140" width="19.42578125" style="2" bestFit="1" customWidth="1"/>
    <col min="16141" max="16141" width="0.5703125" style="2" customWidth="1"/>
    <col min="16142" max="16143" width="18.7109375" style="2" bestFit="1" customWidth="1"/>
    <col min="16144" max="16144" width="16.5703125" style="2" customWidth="1"/>
    <col min="16145" max="16145" width="0.7109375" style="2" customWidth="1"/>
    <col min="16146" max="16147" width="19.85546875" style="2" bestFit="1" customWidth="1"/>
    <col min="16148" max="16148" width="18.7109375" style="2" bestFit="1" customWidth="1"/>
    <col min="16149" max="16149" width="14.5703125" style="2" customWidth="1"/>
    <col min="16150" max="16150" width="9.140625" style="2"/>
    <col min="16151" max="16151" width="13.140625" style="2" bestFit="1" customWidth="1"/>
    <col min="16152" max="16384" width="9.140625" style="2"/>
  </cols>
  <sheetData>
    <row r="1" spans="2:21" ht="18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2:21" ht="20.25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21" ht="18">
      <c r="B3" s="131" t="s">
        <v>186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1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2:21" ht="24.95" customHeight="1">
      <c r="B5" s="134" t="s">
        <v>3</v>
      </c>
      <c r="C5" s="135"/>
      <c r="D5" s="135"/>
      <c r="E5" s="136"/>
      <c r="F5" s="140" t="s">
        <v>4</v>
      </c>
      <c r="G5" s="141"/>
      <c r="H5" s="142"/>
      <c r="I5" s="3"/>
      <c r="J5" s="140" t="s">
        <v>5</v>
      </c>
      <c r="K5" s="141"/>
      <c r="L5" s="142"/>
      <c r="M5" s="4"/>
      <c r="N5" s="140" t="s">
        <v>6</v>
      </c>
      <c r="O5" s="141"/>
      <c r="P5" s="142"/>
      <c r="Q5" s="3"/>
      <c r="R5" s="140" t="s">
        <v>7</v>
      </c>
      <c r="S5" s="141"/>
      <c r="T5" s="143"/>
      <c r="U5" s="127" t="s">
        <v>8</v>
      </c>
    </row>
    <row r="6" spans="2:21" s="8" customFormat="1" ht="28.5" customHeight="1" thickBot="1">
      <c r="B6" s="137"/>
      <c r="C6" s="138"/>
      <c r="D6" s="138"/>
      <c r="E6" s="139"/>
      <c r="F6" s="5" t="s">
        <v>9</v>
      </c>
      <c r="G6" s="6" t="s">
        <v>10</v>
      </c>
      <c r="H6" s="5" t="s">
        <v>11</v>
      </c>
      <c r="I6" s="6"/>
      <c r="J6" s="5" t="s">
        <v>12</v>
      </c>
      <c r="K6" s="6" t="s">
        <v>10</v>
      </c>
      <c r="L6" s="5" t="s">
        <v>11</v>
      </c>
      <c r="M6" s="5"/>
      <c r="N6" s="5" t="s">
        <v>9</v>
      </c>
      <c r="O6" s="6" t="s">
        <v>10</v>
      </c>
      <c r="P6" s="5" t="s">
        <v>11</v>
      </c>
      <c r="Q6" s="5"/>
      <c r="R6" s="6" t="s">
        <v>13</v>
      </c>
      <c r="S6" s="6" t="s">
        <v>10</v>
      </c>
      <c r="T6" s="7" t="s">
        <v>11</v>
      </c>
      <c r="U6" s="128"/>
    </row>
    <row r="7" spans="2:21" ht="24.95" customHeight="1">
      <c r="B7" s="9"/>
      <c r="C7" s="10"/>
      <c r="D7" s="10"/>
      <c r="E7" s="11"/>
      <c r="F7" s="12"/>
      <c r="G7" s="12"/>
      <c r="H7" s="12"/>
      <c r="I7" s="13"/>
      <c r="J7" s="12"/>
      <c r="K7" s="12"/>
      <c r="L7" s="12"/>
      <c r="M7" s="12"/>
      <c r="N7" s="12"/>
      <c r="O7" s="12"/>
      <c r="P7" s="12"/>
      <c r="Q7" s="13"/>
      <c r="R7" s="12"/>
      <c r="S7" s="12"/>
      <c r="T7" s="14"/>
      <c r="U7" s="15"/>
    </row>
    <row r="8" spans="2:21" ht="24.95" customHeight="1">
      <c r="B8" s="9" t="s">
        <v>14</v>
      </c>
      <c r="C8" s="10"/>
      <c r="D8" s="10"/>
      <c r="E8" s="11"/>
      <c r="F8" s="12">
        <f>3834839000+14616+137921.87-345426186.25</f>
        <v>3489565351.6199999</v>
      </c>
      <c r="G8" s="12">
        <v>324111604.63</v>
      </c>
      <c r="H8" s="12">
        <f>+F8-G8</f>
        <v>3165453746.9899998</v>
      </c>
      <c r="I8" s="13"/>
      <c r="J8" s="12"/>
      <c r="K8" s="12"/>
      <c r="L8" s="12">
        <f>+J8-K8</f>
        <v>0</v>
      </c>
      <c r="M8" s="12"/>
      <c r="N8" s="12">
        <f>356876+332295+120082</f>
        <v>809253</v>
      </c>
      <c r="O8" s="12">
        <v>990683.81</v>
      </c>
      <c r="P8" s="12">
        <f>+N8-O8</f>
        <v>-181430.81000000006</v>
      </c>
      <c r="Q8" s="16"/>
      <c r="R8" s="12">
        <f>+F8+J8+N8</f>
        <v>3490374604.6199999</v>
      </c>
      <c r="S8" s="12">
        <f>+G8+K8+O8</f>
        <v>325102288.44</v>
      </c>
      <c r="T8" s="14">
        <f>+R8-S8</f>
        <v>3165272316.1799998</v>
      </c>
      <c r="U8" s="17">
        <f>+S8/R8</f>
        <v>9.3142520579218513E-2</v>
      </c>
    </row>
    <row r="9" spans="2:21" ht="24.95" customHeight="1">
      <c r="B9" s="18"/>
      <c r="C9" s="10"/>
      <c r="D9" s="10"/>
      <c r="E9" s="19"/>
      <c r="F9" s="12"/>
      <c r="G9" s="12"/>
      <c r="H9" s="12">
        <f>+F9-G9</f>
        <v>0</v>
      </c>
      <c r="I9" s="13"/>
      <c r="J9" s="12"/>
      <c r="K9" s="12"/>
      <c r="L9" s="12">
        <f>+J9-K9</f>
        <v>0</v>
      </c>
      <c r="M9" s="12"/>
      <c r="N9" s="12"/>
      <c r="O9" s="12"/>
      <c r="P9" s="12">
        <f>+N9-O9</f>
        <v>0</v>
      </c>
      <c r="Q9" s="13"/>
      <c r="R9" s="12"/>
      <c r="S9" s="12"/>
      <c r="T9" s="14"/>
      <c r="U9" s="17"/>
    </row>
    <row r="10" spans="2:21" ht="24.95" customHeight="1">
      <c r="B10" s="9" t="s">
        <v>15</v>
      </c>
      <c r="C10" s="10"/>
      <c r="D10" s="10"/>
      <c r="E10" s="11"/>
      <c r="F10" s="12"/>
      <c r="G10" s="12"/>
      <c r="H10" s="12"/>
      <c r="I10" s="13"/>
      <c r="J10" s="12"/>
      <c r="K10" s="12"/>
      <c r="L10" s="12"/>
      <c r="M10" s="12"/>
      <c r="N10" s="12"/>
      <c r="O10" s="12"/>
      <c r="P10" s="12"/>
      <c r="Q10" s="13"/>
      <c r="R10" s="12"/>
      <c r="S10" s="12"/>
      <c r="T10" s="14"/>
      <c r="U10" s="17"/>
    </row>
    <row r="11" spans="2:21" ht="30" customHeight="1">
      <c r="B11" s="9"/>
      <c r="C11" s="129" t="s">
        <v>16</v>
      </c>
      <c r="D11" s="129"/>
      <c r="E11" s="130"/>
      <c r="F11" s="12">
        <f>SUM(F13:F46)</f>
        <v>1344146888</v>
      </c>
      <c r="G11" s="12">
        <f t="shared" ref="G11:T11" si="0">SUM(G13:G46)</f>
        <v>841534343.43000007</v>
      </c>
      <c r="H11" s="12">
        <f t="shared" si="0"/>
        <v>502612544.56999993</v>
      </c>
      <c r="I11" s="12">
        <f t="shared" si="0"/>
        <v>2208000</v>
      </c>
      <c r="J11" s="12">
        <f>SUM(J13:J46)</f>
        <v>24718397.369999997</v>
      </c>
      <c r="K11" s="12">
        <f t="shared" ref="K11" si="1">SUM(K13:K46)</f>
        <v>12638375.310000001</v>
      </c>
      <c r="L11" s="12">
        <f>SUM(L13:L46)</f>
        <v>12080022.059999999</v>
      </c>
      <c r="M11" s="12">
        <f t="shared" si="0"/>
        <v>0</v>
      </c>
      <c r="N11" s="12">
        <f>SUM(N13:N46)</f>
        <v>9457535.5</v>
      </c>
      <c r="O11" s="12">
        <f t="shared" ref="O11" si="2">SUM(O13:O46)</f>
        <v>7155862.6299999999</v>
      </c>
      <c r="P11" s="12">
        <f>SUM(P13:P46)</f>
        <v>2301672.87</v>
      </c>
      <c r="Q11" s="12">
        <f t="shared" si="0"/>
        <v>0</v>
      </c>
      <c r="R11" s="12">
        <f t="shared" si="0"/>
        <v>1378322820.8699999</v>
      </c>
      <c r="S11" s="12">
        <f t="shared" si="0"/>
        <v>861328581.36999989</v>
      </c>
      <c r="T11" s="14">
        <f t="shared" si="0"/>
        <v>516994239.5</v>
      </c>
      <c r="U11" s="17">
        <f>+S11/R11</f>
        <v>0.62491062930114416</v>
      </c>
    </row>
    <row r="12" spans="2:21" ht="24.95" customHeight="1">
      <c r="B12" s="18"/>
      <c r="C12" s="20" t="s">
        <v>17</v>
      </c>
      <c r="D12" s="20"/>
      <c r="E12" s="10"/>
      <c r="F12" s="12"/>
      <c r="G12" s="12"/>
      <c r="H12" s="12">
        <f t="shared" ref="H12:H17" si="3">+F12-G12</f>
        <v>0</v>
      </c>
      <c r="I12" s="13"/>
      <c r="J12" s="12"/>
      <c r="K12" s="12"/>
      <c r="L12" s="12">
        <f t="shared" ref="L12:L17" si="4">+J12-K12</f>
        <v>0</v>
      </c>
      <c r="M12" s="12"/>
      <c r="N12" s="12"/>
      <c r="O12" s="12"/>
      <c r="P12" s="12">
        <f t="shared" ref="P12:P17" si="5">+N12-O12</f>
        <v>0</v>
      </c>
      <c r="Q12" s="13"/>
      <c r="R12" s="12"/>
      <c r="S12" s="12"/>
      <c r="T12" s="14"/>
      <c r="U12" s="17"/>
    </row>
    <row r="13" spans="2:21" ht="24.95" customHeight="1">
      <c r="B13" s="18"/>
      <c r="C13" s="20"/>
      <c r="D13" s="20"/>
      <c r="E13" s="10" t="s">
        <v>18</v>
      </c>
      <c r="F13" s="12">
        <v>24147508</v>
      </c>
      <c r="G13" s="12">
        <v>16756701.27</v>
      </c>
      <c r="H13" s="12">
        <f t="shared" si="3"/>
        <v>7390806.7300000004</v>
      </c>
      <c r="I13" s="13"/>
      <c r="J13" s="12"/>
      <c r="K13" s="12"/>
      <c r="L13" s="12">
        <f t="shared" si="4"/>
        <v>0</v>
      </c>
      <c r="M13" s="12"/>
      <c r="N13" s="12"/>
      <c r="O13" s="12"/>
      <c r="P13" s="12">
        <f t="shared" si="5"/>
        <v>0</v>
      </c>
      <c r="Q13" s="13"/>
      <c r="R13" s="12">
        <f t="shared" ref="R13:S17" si="6">+F13+J13+N13</f>
        <v>24147508</v>
      </c>
      <c r="S13" s="12">
        <f t="shared" si="6"/>
        <v>16756701.27</v>
      </c>
      <c r="T13" s="14">
        <f>+R13-S13</f>
        <v>7390806.7300000004</v>
      </c>
      <c r="U13" s="17">
        <f t="shared" ref="U13:U72" si="7">+S13/R13</f>
        <v>0.69393087145886856</v>
      </c>
    </row>
    <row r="14" spans="2:21" ht="24.95" customHeight="1">
      <c r="B14" s="18"/>
      <c r="C14" s="10"/>
      <c r="D14" s="10"/>
      <c r="E14" s="21" t="s">
        <v>19</v>
      </c>
      <c r="F14" s="12">
        <v>9799114</v>
      </c>
      <c r="G14" s="12">
        <v>12253908.690000001</v>
      </c>
      <c r="H14" s="12">
        <f t="shared" si="3"/>
        <v>-2454794.6900000013</v>
      </c>
      <c r="I14" s="13"/>
      <c r="J14" s="12">
        <v>1677366</v>
      </c>
      <c r="K14" s="12"/>
      <c r="L14" s="12">
        <f t="shared" si="4"/>
        <v>1677366</v>
      </c>
      <c r="M14" s="12"/>
      <c r="N14" s="12"/>
      <c r="O14" s="12"/>
      <c r="P14" s="12">
        <f t="shared" si="5"/>
        <v>0</v>
      </c>
      <c r="Q14" s="13"/>
      <c r="R14" s="12">
        <f t="shared" si="6"/>
        <v>11476480</v>
      </c>
      <c r="S14" s="12">
        <f t="shared" si="6"/>
        <v>12253908.690000001</v>
      </c>
      <c r="T14" s="14">
        <f>+R14-S14</f>
        <v>-777428.69000000134</v>
      </c>
      <c r="U14" s="17">
        <f t="shared" si="7"/>
        <v>1.0677410399355902</v>
      </c>
    </row>
    <row r="15" spans="2:21" ht="27" customHeight="1">
      <c r="B15" s="18"/>
      <c r="C15" s="10"/>
      <c r="D15" s="10"/>
      <c r="E15" s="21" t="s">
        <v>20</v>
      </c>
      <c r="F15" s="12">
        <v>13605003.68</v>
      </c>
      <c r="G15" s="12">
        <v>8012040.9399999995</v>
      </c>
      <c r="H15" s="12">
        <f t="shared" si="3"/>
        <v>5592962.7400000002</v>
      </c>
      <c r="I15" s="13"/>
      <c r="J15" s="12"/>
      <c r="K15" s="12"/>
      <c r="L15" s="12">
        <f t="shared" si="4"/>
        <v>0</v>
      </c>
      <c r="M15" s="12"/>
      <c r="N15" s="12"/>
      <c r="O15" s="12"/>
      <c r="P15" s="12">
        <f t="shared" si="5"/>
        <v>0</v>
      </c>
      <c r="Q15" s="13"/>
      <c r="R15" s="12">
        <f t="shared" si="6"/>
        <v>13605003.68</v>
      </c>
      <c r="S15" s="12">
        <f t="shared" si="6"/>
        <v>8012040.9399999995</v>
      </c>
      <c r="T15" s="14">
        <f>+R15-S15</f>
        <v>5592962.7400000002</v>
      </c>
      <c r="U15" s="17">
        <f t="shared" si="7"/>
        <v>0.58890398918289744</v>
      </c>
    </row>
    <row r="16" spans="2:21" ht="27" customHeight="1">
      <c r="B16" s="18"/>
      <c r="C16" s="10"/>
      <c r="D16" s="10"/>
      <c r="E16" s="22" t="s">
        <v>21</v>
      </c>
      <c r="F16" s="12">
        <v>2578000</v>
      </c>
      <c r="G16" s="12">
        <v>2137633.13</v>
      </c>
      <c r="H16" s="12">
        <f t="shared" si="3"/>
        <v>440366.87000000011</v>
      </c>
      <c r="I16" s="13"/>
      <c r="J16" s="12"/>
      <c r="K16" s="12"/>
      <c r="L16" s="12">
        <f t="shared" si="4"/>
        <v>0</v>
      </c>
      <c r="M16" s="12"/>
      <c r="N16" s="12"/>
      <c r="O16" s="12"/>
      <c r="P16" s="12">
        <f t="shared" si="5"/>
        <v>0</v>
      </c>
      <c r="Q16" s="13"/>
      <c r="R16" s="12">
        <f t="shared" si="6"/>
        <v>2578000</v>
      </c>
      <c r="S16" s="12">
        <f t="shared" si="6"/>
        <v>2137633.13</v>
      </c>
      <c r="T16" s="14">
        <f>+R16-S16</f>
        <v>440366.87000000011</v>
      </c>
      <c r="U16" s="17">
        <f t="shared" si="7"/>
        <v>0.82918275019394871</v>
      </c>
    </row>
    <row r="17" spans="2:21" ht="27" customHeight="1">
      <c r="B17" s="18"/>
      <c r="C17" s="10"/>
      <c r="D17" s="10"/>
      <c r="E17" s="21" t="s">
        <v>22</v>
      </c>
      <c r="F17" s="12">
        <v>33378964</v>
      </c>
      <c r="G17" s="12">
        <v>11110782.99</v>
      </c>
      <c r="H17" s="12">
        <f t="shared" si="3"/>
        <v>22268181.009999998</v>
      </c>
      <c r="I17" s="13"/>
      <c r="J17" s="12">
        <v>6253000</v>
      </c>
      <c r="K17" s="12">
        <v>6253000</v>
      </c>
      <c r="L17" s="12">
        <f t="shared" si="4"/>
        <v>0</v>
      </c>
      <c r="M17" s="12"/>
      <c r="N17" s="12"/>
      <c r="O17" s="12"/>
      <c r="P17" s="12">
        <f t="shared" si="5"/>
        <v>0</v>
      </c>
      <c r="Q17" s="13"/>
      <c r="R17" s="12">
        <f t="shared" si="6"/>
        <v>39631964</v>
      </c>
      <c r="S17" s="12">
        <f t="shared" si="6"/>
        <v>17363782.990000002</v>
      </c>
      <c r="T17" s="14">
        <f>+R17-S17</f>
        <v>22268181.009999998</v>
      </c>
      <c r="U17" s="17">
        <f t="shared" si="7"/>
        <v>0.43812572573996084</v>
      </c>
    </row>
    <row r="18" spans="2:21" ht="24.95" customHeight="1">
      <c r="B18" s="18"/>
      <c r="C18" s="10"/>
      <c r="D18" s="10"/>
      <c r="E18" s="21"/>
      <c r="F18" s="12"/>
      <c r="G18" s="12"/>
      <c r="H18" s="12"/>
      <c r="I18" s="13"/>
      <c r="J18" s="12"/>
      <c r="K18" s="12"/>
      <c r="L18" s="12"/>
      <c r="M18" s="12"/>
      <c r="N18" s="12"/>
      <c r="O18" s="12"/>
      <c r="P18" s="12"/>
      <c r="Q18" s="13"/>
      <c r="R18" s="12"/>
      <c r="S18" s="12"/>
      <c r="T18" s="14"/>
      <c r="U18" s="17"/>
    </row>
    <row r="19" spans="2:21" ht="24.95" customHeight="1">
      <c r="B19" s="18"/>
      <c r="C19" s="20" t="s">
        <v>23</v>
      </c>
      <c r="D19" s="20"/>
      <c r="E19" s="10"/>
      <c r="F19" s="12"/>
      <c r="G19" s="12"/>
      <c r="H19" s="12"/>
      <c r="I19" s="13"/>
      <c r="J19" s="12"/>
      <c r="K19" s="12"/>
      <c r="L19" s="12"/>
      <c r="M19" s="12"/>
      <c r="N19" s="12"/>
      <c r="O19" s="12"/>
      <c r="P19" s="12"/>
      <c r="Q19" s="13"/>
      <c r="R19" s="12"/>
      <c r="S19" s="12"/>
      <c r="T19" s="14"/>
      <c r="U19" s="17"/>
    </row>
    <row r="20" spans="2:21" ht="24.95" customHeight="1">
      <c r="B20" s="18"/>
      <c r="C20" s="20"/>
      <c r="D20" s="20"/>
      <c r="E20" s="10" t="s">
        <v>24</v>
      </c>
      <c r="F20" s="12">
        <v>112417457</v>
      </c>
      <c r="G20" s="12">
        <v>66976441.5</v>
      </c>
      <c r="H20" s="12">
        <f>+F20-G20</f>
        <v>45441015.5</v>
      </c>
      <c r="I20" s="13"/>
      <c r="J20" s="12"/>
      <c r="K20" s="12"/>
      <c r="L20" s="12">
        <f>+J20-K20</f>
        <v>0</v>
      </c>
      <c r="M20" s="12"/>
      <c r="N20" s="12"/>
      <c r="O20" s="12"/>
      <c r="P20" s="12">
        <f>+N20-O20</f>
        <v>0</v>
      </c>
      <c r="Q20" s="13"/>
      <c r="R20" s="12">
        <f>+F20+J20+N20</f>
        <v>112417457</v>
      </c>
      <c r="S20" s="12">
        <f>+G20+K20+O20</f>
        <v>66976441.5</v>
      </c>
      <c r="T20" s="14">
        <f>+R20-S20</f>
        <v>45441015.5</v>
      </c>
      <c r="U20" s="17">
        <f t="shared" si="7"/>
        <v>0.59578328212850429</v>
      </c>
    </row>
    <row r="21" spans="2:21" ht="28.5" customHeight="1">
      <c r="B21" s="18"/>
      <c r="C21" s="10"/>
      <c r="D21" s="10"/>
      <c r="E21" s="22" t="s">
        <v>142</v>
      </c>
      <c r="F21" s="12">
        <v>39052858</v>
      </c>
      <c r="G21" s="12">
        <v>30180481.219999999</v>
      </c>
      <c r="H21" s="12">
        <f>+F21-G21</f>
        <v>8872376.7800000012</v>
      </c>
      <c r="I21" s="13"/>
      <c r="J21" s="12"/>
      <c r="K21" s="12"/>
      <c r="L21" s="12">
        <f>+J21-K21</f>
        <v>0</v>
      </c>
      <c r="M21" s="12"/>
      <c r="N21" s="12"/>
      <c r="O21" s="12"/>
      <c r="P21" s="12">
        <f>+N21-O21</f>
        <v>0</v>
      </c>
      <c r="Q21" s="13"/>
      <c r="R21" s="12">
        <f>+F21+J21+N21</f>
        <v>39052858</v>
      </c>
      <c r="S21" s="12">
        <f>+G21+K21+O21</f>
        <v>30180481.219999999</v>
      </c>
      <c r="T21" s="14">
        <f>+R21-S21</f>
        <v>8872376.7800000012</v>
      </c>
      <c r="U21" s="17">
        <f t="shared" si="7"/>
        <v>0.77281107620855816</v>
      </c>
    </row>
    <row r="22" spans="2:21" ht="24.95" customHeight="1">
      <c r="B22" s="18"/>
      <c r="C22" s="10"/>
      <c r="D22" s="10"/>
      <c r="E22" s="22"/>
      <c r="F22" s="12"/>
      <c r="G22" s="12"/>
      <c r="H22" s="12"/>
      <c r="I22" s="13"/>
      <c r="J22" s="12"/>
      <c r="K22" s="12"/>
      <c r="L22" s="12"/>
      <c r="M22" s="12"/>
      <c r="N22" s="12"/>
      <c r="O22" s="12"/>
      <c r="P22" s="12"/>
      <c r="Q22" s="13"/>
      <c r="R22" s="12"/>
      <c r="S22" s="12"/>
      <c r="T22" s="14"/>
      <c r="U22" s="17"/>
    </row>
    <row r="23" spans="2:21" ht="24.95" customHeight="1">
      <c r="B23" s="18"/>
      <c r="C23" s="20" t="s">
        <v>26</v>
      </c>
      <c r="D23" s="20"/>
      <c r="E23" s="10"/>
      <c r="F23" s="12"/>
      <c r="G23" s="12"/>
      <c r="H23" s="12"/>
      <c r="I23" s="13"/>
      <c r="J23" s="12"/>
      <c r="K23" s="12"/>
      <c r="L23" s="12"/>
      <c r="M23" s="12"/>
      <c r="N23" s="12"/>
      <c r="O23" s="12"/>
      <c r="P23" s="12"/>
      <c r="Q23" s="13"/>
      <c r="R23" s="12"/>
      <c r="S23" s="12"/>
      <c r="T23" s="14"/>
      <c r="U23" s="17"/>
    </row>
    <row r="24" spans="2:21" ht="24.95" customHeight="1">
      <c r="B24" s="18"/>
      <c r="C24" s="20"/>
      <c r="D24" s="20"/>
      <c r="E24" s="10" t="s">
        <v>27</v>
      </c>
      <c r="F24" s="12">
        <v>79032000</v>
      </c>
      <c r="G24" s="12">
        <v>38560547.609999999</v>
      </c>
      <c r="H24" s="12">
        <f>+F24-G24</f>
        <v>40471452.390000001</v>
      </c>
      <c r="I24" s="13"/>
      <c r="J24" s="12"/>
      <c r="K24" s="12"/>
      <c r="L24" s="12">
        <f>+J24-K24</f>
        <v>0</v>
      </c>
      <c r="M24" s="12"/>
      <c r="N24" s="12"/>
      <c r="O24" s="12"/>
      <c r="P24" s="12">
        <f>+N24-O24</f>
        <v>0</v>
      </c>
      <c r="Q24" s="13"/>
      <c r="R24" s="12">
        <f t="shared" ref="R24:S26" si="8">+F24+J24+N24</f>
        <v>79032000</v>
      </c>
      <c r="S24" s="12">
        <f t="shared" si="8"/>
        <v>38560547.609999999</v>
      </c>
      <c r="T24" s="14">
        <f>+R24-S24</f>
        <v>40471452.390000001</v>
      </c>
      <c r="U24" s="17">
        <f t="shared" si="7"/>
        <v>0.48791056293653201</v>
      </c>
    </row>
    <row r="25" spans="2:21" ht="27.75" customHeight="1">
      <c r="B25" s="18"/>
      <c r="C25" s="10"/>
      <c r="D25" s="10"/>
      <c r="E25" s="22" t="s">
        <v>28</v>
      </c>
      <c r="F25" s="12">
        <v>8117414</v>
      </c>
      <c r="G25" s="12">
        <v>5925338.7599999998</v>
      </c>
      <c r="H25" s="12">
        <f>+F25-G25</f>
        <v>2192075.2400000002</v>
      </c>
      <c r="I25" s="13"/>
      <c r="J25" s="12"/>
      <c r="K25" s="12"/>
      <c r="L25" s="12">
        <f>+J25-K25</f>
        <v>0</v>
      </c>
      <c r="M25" s="12"/>
      <c r="N25" s="12"/>
      <c r="O25" s="12"/>
      <c r="P25" s="12">
        <f>+N25-O25</f>
        <v>0</v>
      </c>
      <c r="Q25" s="13"/>
      <c r="R25" s="12">
        <f t="shared" si="8"/>
        <v>8117414</v>
      </c>
      <c r="S25" s="12">
        <f t="shared" si="8"/>
        <v>5925338.7599999998</v>
      </c>
      <c r="T25" s="14">
        <f>+R25-S25</f>
        <v>2192075.2400000002</v>
      </c>
      <c r="U25" s="17">
        <f t="shared" si="7"/>
        <v>0.72995399273709582</v>
      </c>
    </row>
    <row r="26" spans="2:21" ht="27.75" customHeight="1">
      <c r="B26" s="18"/>
      <c r="C26" s="10"/>
      <c r="D26" s="10"/>
      <c r="E26" s="22" t="s">
        <v>29</v>
      </c>
      <c r="F26" s="12">
        <v>5201000</v>
      </c>
      <c r="G26" s="12">
        <v>5865833.8499999996</v>
      </c>
      <c r="H26" s="12">
        <f>+F26-G26</f>
        <v>-664833.84999999963</v>
      </c>
      <c r="I26" s="13"/>
      <c r="J26" s="12"/>
      <c r="K26" s="12"/>
      <c r="L26" s="12">
        <f>+J26-K26</f>
        <v>0</v>
      </c>
      <c r="M26" s="12"/>
      <c r="N26" s="12"/>
      <c r="O26" s="12"/>
      <c r="P26" s="12">
        <f>+N26-O26</f>
        <v>0</v>
      </c>
      <c r="Q26" s="13"/>
      <c r="R26" s="12">
        <f t="shared" si="8"/>
        <v>5201000</v>
      </c>
      <c r="S26" s="12">
        <f t="shared" si="8"/>
        <v>5865833.8499999996</v>
      </c>
      <c r="T26" s="14">
        <f>+R26-S26</f>
        <v>-664833.84999999963</v>
      </c>
      <c r="U26" s="17">
        <f t="shared" si="7"/>
        <v>1.1278280811382426</v>
      </c>
    </row>
    <row r="27" spans="2:21" ht="24.95" customHeight="1">
      <c r="B27" s="18"/>
      <c r="C27" s="10"/>
      <c r="D27" s="10"/>
      <c r="E27" s="22"/>
      <c r="F27" s="12"/>
      <c r="G27" s="12"/>
      <c r="H27" s="12"/>
      <c r="I27" s="13"/>
      <c r="J27" s="12"/>
      <c r="K27" s="12"/>
      <c r="L27" s="12"/>
      <c r="M27" s="12"/>
      <c r="N27" s="12"/>
      <c r="O27" s="12"/>
      <c r="P27" s="12"/>
      <c r="Q27" s="13"/>
      <c r="R27" s="12"/>
      <c r="S27" s="12"/>
      <c r="T27" s="14"/>
      <c r="U27" s="17"/>
    </row>
    <row r="28" spans="2:21" ht="24.95" customHeight="1">
      <c r="B28" s="18"/>
      <c r="C28" s="20" t="s">
        <v>30</v>
      </c>
      <c r="D28" s="20"/>
      <c r="E28" s="10"/>
      <c r="F28" s="12"/>
      <c r="G28" s="12"/>
      <c r="H28" s="12"/>
      <c r="I28" s="13"/>
      <c r="J28" s="12"/>
      <c r="K28" s="12"/>
      <c r="L28" s="12"/>
      <c r="M28" s="12"/>
      <c r="N28" s="12"/>
      <c r="O28" s="12"/>
      <c r="P28" s="12"/>
      <c r="Q28" s="13"/>
      <c r="R28" s="12"/>
      <c r="S28" s="12"/>
      <c r="T28" s="14"/>
      <c r="U28" s="17"/>
    </row>
    <row r="29" spans="2:21" ht="24.95" customHeight="1">
      <c r="B29" s="18"/>
      <c r="C29" s="20"/>
      <c r="D29" s="20"/>
      <c r="E29" s="10" t="s">
        <v>31</v>
      </c>
      <c r="F29" s="23">
        <v>63269217.5</v>
      </c>
      <c r="G29" s="23">
        <v>65103720.850000001</v>
      </c>
      <c r="H29" s="12">
        <f>+F29-G29</f>
        <v>-1834503.3500000015</v>
      </c>
      <c r="I29" s="13"/>
      <c r="J29" s="23">
        <f>+H29+'october '!H29</f>
        <v>13837888.609999999</v>
      </c>
      <c r="K29" s="23"/>
      <c r="L29" s="12">
        <f>+J29-K29</f>
        <v>13837888.609999999</v>
      </c>
      <c r="M29" s="12"/>
      <c r="N29" s="23">
        <v>1705782.5</v>
      </c>
      <c r="O29" s="23">
        <v>1705782.5</v>
      </c>
      <c r="P29" s="12">
        <f>+N29-O29</f>
        <v>0</v>
      </c>
      <c r="Q29" s="13"/>
      <c r="R29" s="12">
        <f t="shared" ref="R29:S32" si="9">+F29+J29+N29</f>
        <v>78812888.609999999</v>
      </c>
      <c r="S29" s="12">
        <f t="shared" si="9"/>
        <v>66809503.350000001</v>
      </c>
      <c r="T29" s="14">
        <f>+R29-S29</f>
        <v>12003385.259999998</v>
      </c>
      <c r="U29" s="17">
        <f t="shared" si="7"/>
        <v>0.84769768661318967</v>
      </c>
    </row>
    <row r="30" spans="2:21" ht="28.5" customHeight="1">
      <c r="B30" s="18"/>
      <c r="C30" s="10"/>
      <c r="D30" s="10"/>
      <c r="E30" s="22" t="s">
        <v>32</v>
      </c>
      <c r="F30" s="12">
        <v>75860813</v>
      </c>
      <c r="G30" s="12">
        <v>37155740.82</v>
      </c>
      <c r="H30" s="12">
        <f>+F30-G30</f>
        <v>38705072.18</v>
      </c>
      <c r="I30" s="13"/>
      <c r="J30" s="12"/>
      <c r="K30" s="12"/>
      <c r="L30" s="12">
        <f>+J30-K30</f>
        <v>0</v>
      </c>
      <c r="M30" s="12"/>
      <c r="N30" s="12"/>
      <c r="O30" s="12"/>
      <c r="P30" s="12">
        <f>+N30-O30</f>
        <v>0</v>
      </c>
      <c r="Q30" s="13"/>
      <c r="R30" s="12">
        <f t="shared" si="9"/>
        <v>75860813</v>
      </c>
      <c r="S30" s="12">
        <f t="shared" si="9"/>
        <v>37155740.82</v>
      </c>
      <c r="T30" s="14">
        <f>+R30-S30</f>
        <v>38705072.18</v>
      </c>
      <c r="U30" s="17">
        <f t="shared" si="7"/>
        <v>0.48978832879104528</v>
      </c>
    </row>
    <row r="31" spans="2:21" ht="28.5" customHeight="1">
      <c r="B31" s="18"/>
      <c r="C31" s="10"/>
      <c r="D31" s="10"/>
      <c r="E31" s="22" t="s">
        <v>33</v>
      </c>
      <c r="F31" s="12">
        <v>25552000</v>
      </c>
      <c r="G31" s="12">
        <v>28892556.850000001</v>
      </c>
      <c r="H31" s="12">
        <f>+F31-G31</f>
        <v>-3340556.8500000015</v>
      </c>
      <c r="I31" s="13"/>
      <c r="J31" s="12"/>
      <c r="K31" s="12"/>
      <c r="L31" s="12">
        <f>+J31-K31</f>
        <v>0</v>
      </c>
      <c r="M31" s="12"/>
      <c r="N31" s="12"/>
      <c r="O31" s="12"/>
      <c r="P31" s="12">
        <f>+N31-O31</f>
        <v>0</v>
      </c>
      <c r="Q31" s="13"/>
      <c r="R31" s="12">
        <f t="shared" si="9"/>
        <v>25552000</v>
      </c>
      <c r="S31" s="12">
        <f t="shared" si="9"/>
        <v>28892556.850000001</v>
      </c>
      <c r="T31" s="14">
        <f>+R31-S31</f>
        <v>-3340556.8500000015</v>
      </c>
      <c r="U31" s="17">
        <f t="shared" si="7"/>
        <v>1.1307356312617409</v>
      </c>
    </row>
    <row r="32" spans="2:21" ht="28.5" customHeight="1">
      <c r="B32" s="18"/>
      <c r="C32" s="10"/>
      <c r="D32" s="10"/>
      <c r="E32" s="22" t="s">
        <v>34</v>
      </c>
      <c r="F32" s="12">
        <v>5014427</v>
      </c>
      <c r="G32" s="12">
        <v>5025147.2699999996</v>
      </c>
      <c r="H32" s="12">
        <f>+F32-G32</f>
        <v>-10720.269999999553</v>
      </c>
      <c r="I32" s="13"/>
      <c r="J32" s="12"/>
      <c r="K32" s="12"/>
      <c r="L32" s="12">
        <f>+J32-K32</f>
        <v>0</v>
      </c>
      <c r="M32" s="12"/>
      <c r="N32" s="12"/>
      <c r="O32" s="12"/>
      <c r="P32" s="12">
        <f>+N32-O32</f>
        <v>0</v>
      </c>
      <c r="Q32" s="13"/>
      <c r="R32" s="12">
        <f t="shared" si="9"/>
        <v>5014427</v>
      </c>
      <c r="S32" s="12">
        <f t="shared" si="9"/>
        <v>5025147.2699999996</v>
      </c>
      <c r="T32" s="14">
        <f>+R32-S32</f>
        <v>-10720.269999999553</v>
      </c>
      <c r="U32" s="17">
        <f t="shared" si="7"/>
        <v>1.0021378853456238</v>
      </c>
    </row>
    <row r="33" spans="2:23" ht="27.75" customHeight="1">
      <c r="B33" s="18"/>
      <c r="C33" s="10"/>
      <c r="D33" s="10"/>
      <c r="E33" s="22"/>
      <c r="F33" s="12"/>
      <c r="G33" s="12"/>
      <c r="H33" s="12"/>
      <c r="I33" s="13"/>
      <c r="J33" s="12"/>
      <c r="K33" s="12"/>
      <c r="L33" s="12"/>
      <c r="M33" s="12"/>
      <c r="N33" s="12"/>
      <c r="O33" s="12"/>
      <c r="P33" s="12"/>
      <c r="Q33" s="13"/>
      <c r="R33" s="12"/>
      <c r="S33" s="12"/>
      <c r="T33" s="14"/>
      <c r="U33" s="17"/>
    </row>
    <row r="34" spans="2:23" ht="24.95" customHeight="1">
      <c r="B34" s="18"/>
      <c r="C34" s="24" t="s">
        <v>35</v>
      </c>
      <c r="D34" s="10"/>
      <c r="E34" s="22"/>
      <c r="F34" s="12"/>
      <c r="G34" s="12"/>
      <c r="H34" s="12"/>
      <c r="I34" s="13"/>
      <c r="J34" s="12"/>
      <c r="K34" s="12"/>
      <c r="L34" s="12"/>
      <c r="M34" s="12"/>
      <c r="N34" s="12"/>
      <c r="O34" s="12"/>
      <c r="P34" s="12"/>
      <c r="Q34" s="13"/>
      <c r="R34" s="12"/>
      <c r="S34" s="12"/>
      <c r="T34" s="14"/>
      <c r="U34" s="17"/>
    </row>
    <row r="35" spans="2:23" ht="24.95" customHeight="1">
      <c r="B35" s="18"/>
      <c r="C35" s="10"/>
      <c r="D35" s="25" t="s">
        <v>36</v>
      </c>
      <c r="E35" s="26"/>
      <c r="F35" s="12">
        <f>25992000+2250800</f>
        <v>28242800</v>
      </c>
      <c r="G35" s="12">
        <v>23616008.010000002</v>
      </c>
      <c r="H35" s="12">
        <f>+F35-G35</f>
        <v>4626791.9899999984</v>
      </c>
      <c r="I35" s="13"/>
      <c r="J35" s="12"/>
      <c r="K35" s="12"/>
      <c r="L35" s="12">
        <f>+J35-K35</f>
        <v>0</v>
      </c>
      <c r="M35" s="12"/>
      <c r="N35" s="12">
        <v>1415236</v>
      </c>
      <c r="O35" s="12">
        <v>870774.35</v>
      </c>
      <c r="P35" s="12">
        <f>+N35-O35</f>
        <v>544461.65</v>
      </c>
      <c r="Q35" s="13"/>
      <c r="R35" s="12">
        <f t="shared" ref="R35:S46" si="10">+F35+J35+N35</f>
        <v>29658036</v>
      </c>
      <c r="S35" s="12">
        <f t="shared" si="10"/>
        <v>24486782.360000003</v>
      </c>
      <c r="T35" s="14">
        <f>+R35-S35</f>
        <v>5171253.6399999969</v>
      </c>
      <c r="U35" s="17">
        <f t="shared" si="7"/>
        <v>0.8256373537344146</v>
      </c>
    </row>
    <row r="36" spans="2:23" ht="24.95" customHeight="1">
      <c r="B36" s="18"/>
      <c r="C36" s="10"/>
      <c r="D36" s="27" t="s">
        <v>37</v>
      </c>
      <c r="E36" s="22"/>
      <c r="F36" s="12">
        <v>185187220</v>
      </c>
      <c r="G36" s="12">
        <v>51295818.160000004</v>
      </c>
      <c r="H36" s="12">
        <f>+F36-G36</f>
        <v>133891401.84</v>
      </c>
      <c r="I36" s="13"/>
      <c r="J36" s="12">
        <v>2950142.76</v>
      </c>
      <c r="K36" s="12">
        <v>6345375.3100000005</v>
      </c>
      <c r="L36" s="12">
        <f>+J36-K36</f>
        <v>-3395232.5500000007</v>
      </c>
      <c r="M36" s="12"/>
      <c r="N36" s="12">
        <v>746552</v>
      </c>
      <c r="O36" s="12">
        <v>490570.03</v>
      </c>
      <c r="P36" s="12">
        <f>+N36-O36</f>
        <v>255981.96999999997</v>
      </c>
      <c r="Q36" s="13"/>
      <c r="R36" s="12">
        <f t="shared" si="10"/>
        <v>188883914.75999999</v>
      </c>
      <c r="S36" s="12">
        <f t="shared" si="10"/>
        <v>58131763.500000007</v>
      </c>
      <c r="T36" s="14">
        <f>+R36-S36</f>
        <v>130752151.25999999</v>
      </c>
      <c r="U36" s="17">
        <f t="shared" si="7"/>
        <v>0.30776449955446705</v>
      </c>
    </row>
    <row r="37" spans="2:23" ht="24.95" customHeight="1">
      <c r="B37" s="18"/>
      <c r="C37" s="10"/>
      <c r="D37" s="28" t="s">
        <v>38</v>
      </c>
      <c r="E37" s="22"/>
      <c r="F37" s="12">
        <v>60462000</v>
      </c>
      <c r="G37" s="12">
        <v>53963448.18999999</v>
      </c>
      <c r="H37" s="12">
        <f>+F37-G37</f>
        <v>6498551.8100000098</v>
      </c>
      <c r="I37" s="13"/>
      <c r="J37" s="12"/>
      <c r="K37" s="12"/>
      <c r="L37" s="12">
        <f>+J37-K37</f>
        <v>0</v>
      </c>
      <c r="M37" s="12"/>
      <c r="N37" s="12">
        <v>972871</v>
      </c>
      <c r="O37" s="12">
        <v>680815.62</v>
      </c>
      <c r="P37" s="12">
        <f>+N37-O37</f>
        <v>292055.38</v>
      </c>
      <c r="Q37" s="13"/>
      <c r="R37" s="12">
        <f t="shared" si="10"/>
        <v>61434871</v>
      </c>
      <c r="S37" s="12">
        <f t="shared" si="10"/>
        <v>54644263.809999987</v>
      </c>
      <c r="T37" s="14">
        <f>+R37-S37</f>
        <v>6790607.1900000125</v>
      </c>
      <c r="U37" s="17">
        <f t="shared" si="7"/>
        <v>0.88946656712276628</v>
      </c>
    </row>
    <row r="38" spans="2:23" ht="24.95" customHeight="1">
      <c r="B38" s="18"/>
      <c r="C38" s="10"/>
      <c r="D38" s="28" t="s">
        <v>39</v>
      </c>
      <c r="E38" s="22"/>
      <c r="F38" s="12">
        <v>82132005.819999993</v>
      </c>
      <c r="G38" s="12">
        <v>50747610.259999998</v>
      </c>
      <c r="H38" s="12">
        <f>+F38-G38</f>
        <v>31384395.559999995</v>
      </c>
      <c r="I38" s="13"/>
      <c r="J38" s="12"/>
      <c r="K38" s="12"/>
      <c r="L38" s="12">
        <f>+J38-K38</f>
        <v>0</v>
      </c>
      <c r="M38" s="12"/>
      <c r="N38" s="12">
        <v>1552806</v>
      </c>
      <c r="O38" s="12">
        <v>1387277.18</v>
      </c>
      <c r="P38" s="12">
        <f>+N38-O38</f>
        <v>165528.82000000007</v>
      </c>
      <c r="Q38" s="13"/>
      <c r="R38" s="12">
        <f t="shared" si="10"/>
        <v>83684811.819999993</v>
      </c>
      <c r="S38" s="12">
        <f t="shared" si="10"/>
        <v>52134887.439999998</v>
      </c>
      <c r="T38" s="14">
        <f>+R38-S38</f>
        <v>31549924.379999995</v>
      </c>
      <c r="U38" s="17">
        <f t="shared" si="7"/>
        <v>0.62299103393024757</v>
      </c>
    </row>
    <row r="39" spans="2:23" ht="24.95" customHeight="1">
      <c r="B39" s="18"/>
      <c r="C39" s="10"/>
      <c r="D39" s="28" t="s">
        <v>40</v>
      </c>
      <c r="E39" s="22"/>
      <c r="F39" s="12">
        <v>94023258</v>
      </c>
      <c r="G39" s="12">
        <v>94583720.640000001</v>
      </c>
      <c r="H39" s="12">
        <f t="shared" ref="H39:H44" si="11">+F39-G39</f>
        <v>-560462.6400000006</v>
      </c>
      <c r="I39" s="13"/>
      <c r="J39" s="12"/>
      <c r="K39" s="12">
        <v>40000</v>
      </c>
      <c r="L39" s="12">
        <f t="shared" ref="L39:L44" si="12">+J39-K39</f>
        <v>-40000</v>
      </c>
      <c r="M39" s="12"/>
      <c r="N39" s="12"/>
      <c r="O39" s="12"/>
      <c r="P39" s="12">
        <f t="shared" ref="P39:P44" si="13">+N39-O39</f>
        <v>0</v>
      </c>
      <c r="Q39" s="13"/>
      <c r="R39" s="12">
        <f t="shared" si="10"/>
        <v>94023258</v>
      </c>
      <c r="S39" s="12">
        <f t="shared" si="10"/>
        <v>94623720.640000001</v>
      </c>
      <c r="T39" s="14">
        <f t="shared" ref="T39:T46" si="14">+R39-S39</f>
        <v>-600462.6400000006</v>
      </c>
      <c r="U39" s="17">
        <f t="shared" si="7"/>
        <v>1.0063863202868379</v>
      </c>
    </row>
    <row r="40" spans="2:23" ht="24.95" customHeight="1">
      <c r="B40" s="18"/>
      <c r="C40" s="10"/>
      <c r="D40" s="28" t="s">
        <v>41</v>
      </c>
      <c r="E40" s="22"/>
      <c r="F40" s="12">
        <v>55284500</v>
      </c>
      <c r="G40" s="12">
        <v>15672262.060000001</v>
      </c>
      <c r="H40" s="12">
        <f t="shared" si="11"/>
        <v>39612237.939999998</v>
      </c>
      <c r="I40" s="13"/>
      <c r="J40" s="12"/>
      <c r="K40" s="12"/>
      <c r="L40" s="12">
        <f t="shared" si="12"/>
        <v>0</v>
      </c>
      <c r="M40" s="12"/>
      <c r="N40" s="12"/>
      <c r="O40" s="12"/>
      <c r="P40" s="12">
        <f t="shared" si="13"/>
        <v>0</v>
      </c>
      <c r="Q40" s="13"/>
      <c r="R40" s="12">
        <f t="shared" si="10"/>
        <v>55284500</v>
      </c>
      <c r="S40" s="12">
        <f t="shared" si="10"/>
        <v>15672262.060000001</v>
      </c>
      <c r="T40" s="14">
        <f t="shared" si="14"/>
        <v>39612237.939999998</v>
      </c>
      <c r="U40" s="17">
        <f t="shared" si="7"/>
        <v>0.28348383470954791</v>
      </c>
    </row>
    <row r="41" spans="2:23" ht="24.95" customHeight="1">
      <c r="B41" s="18"/>
      <c r="C41" s="10"/>
      <c r="D41" s="28" t="s">
        <v>42</v>
      </c>
      <c r="E41" s="22"/>
      <c r="F41" s="12">
        <v>56022328</v>
      </c>
      <c r="G41" s="12">
        <v>44023989.609999999</v>
      </c>
      <c r="H41" s="12">
        <f t="shared" si="11"/>
        <v>11998338.390000001</v>
      </c>
      <c r="I41" s="13"/>
      <c r="J41" s="12"/>
      <c r="K41" s="12"/>
      <c r="L41" s="12">
        <f t="shared" si="12"/>
        <v>0</v>
      </c>
      <c r="M41" s="12"/>
      <c r="N41" s="12">
        <v>1240122</v>
      </c>
      <c r="O41" s="12">
        <v>202395.45</v>
      </c>
      <c r="P41" s="12">
        <f t="shared" si="13"/>
        <v>1037726.55</v>
      </c>
      <c r="Q41" s="13"/>
      <c r="R41" s="12">
        <f t="shared" si="10"/>
        <v>57262450</v>
      </c>
      <c r="S41" s="12">
        <f t="shared" si="10"/>
        <v>44226385.060000002</v>
      </c>
      <c r="T41" s="14">
        <f t="shared" si="14"/>
        <v>13036064.939999998</v>
      </c>
      <c r="U41" s="17">
        <f t="shared" si="7"/>
        <v>0.7723453163460523</v>
      </c>
    </row>
    <row r="42" spans="2:23" ht="24.95" customHeight="1">
      <c r="B42" s="18"/>
      <c r="C42" s="10"/>
      <c r="D42" s="25" t="s">
        <v>43</v>
      </c>
      <c r="E42" s="22"/>
      <c r="F42" s="12">
        <v>37145000</v>
      </c>
      <c r="G42" s="12">
        <v>37118203.810000002</v>
      </c>
      <c r="H42" s="12">
        <f t="shared" si="11"/>
        <v>26796.189999997616</v>
      </c>
      <c r="I42" s="13">
        <v>2208000</v>
      </c>
      <c r="J42" s="12"/>
      <c r="K42" s="12"/>
      <c r="L42" s="12">
        <f t="shared" si="12"/>
        <v>0</v>
      </c>
      <c r="M42" s="12"/>
      <c r="N42" s="12"/>
      <c r="O42" s="12"/>
      <c r="P42" s="12">
        <f t="shared" si="13"/>
        <v>0</v>
      </c>
      <c r="Q42" s="13"/>
      <c r="R42" s="12">
        <f t="shared" si="10"/>
        <v>37145000</v>
      </c>
      <c r="S42" s="12">
        <f t="shared" si="10"/>
        <v>37118203.810000002</v>
      </c>
      <c r="T42" s="14">
        <f t="shared" si="14"/>
        <v>26796.189999997616</v>
      </c>
      <c r="U42" s="17">
        <f t="shared" si="7"/>
        <v>0.99927860573428462</v>
      </c>
    </row>
    <row r="43" spans="2:23" ht="24.95" customHeight="1">
      <c r="B43" s="18"/>
      <c r="C43" s="10"/>
      <c r="D43" s="27" t="s">
        <v>44</v>
      </c>
      <c r="E43" s="22"/>
      <c r="F43" s="12">
        <v>131962500</v>
      </c>
      <c r="G43" s="12">
        <v>40655470.869999997</v>
      </c>
      <c r="H43" s="12">
        <f t="shared" si="11"/>
        <v>91307029.129999995</v>
      </c>
      <c r="I43" s="13"/>
      <c r="J43" s="12"/>
      <c r="K43" s="12"/>
      <c r="L43" s="12">
        <f t="shared" si="12"/>
        <v>0</v>
      </c>
      <c r="M43" s="12"/>
      <c r="N43" s="12"/>
      <c r="O43" s="12"/>
      <c r="P43" s="12">
        <f t="shared" si="13"/>
        <v>0</v>
      </c>
      <c r="Q43" s="13"/>
      <c r="R43" s="12">
        <f t="shared" si="10"/>
        <v>131962500</v>
      </c>
      <c r="S43" s="12">
        <f t="shared" si="10"/>
        <v>40655470.869999997</v>
      </c>
      <c r="T43" s="14">
        <f t="shared" si="14"/>
        <v>91307029.129999995</v>
      </c>
      <c r="U43" s="17">
        <f t="shared" si="7"/>
        <v>0.30808351516529314</v>
      </c>
    </row>
    <row r="44" spans="2:23" ht="24.95" customHeight="1">
      <c r="B44" s="18"/>
      <c r="C44" s="10"/>
      <c r="D44" s="28" t="s">
        <v>45</v>
      </c>
      <c r="E44" s="22"/>
      <c r="F44" s="12">
        <v>31429000</v>
      </c>
      <c r="G44" s="12">
        <f>26442139.29+8971.43</f>
        <v>26451110.719999999</v>
      </c>
      <c r="H44" s="12">
        <f t="shared" si="11"/>
        <v>4977889.2800000012</v>
      </c>
      <c r="I44" s="13"/>
      <c r="J44" s="12"/>
      <c r="K44" s="12"/>
      <c r="L44" s="12">
        <f t="shared" si="12"/>
        <v>0</v>
      </c>
      <c r="M44" s="12"/>
      <c r="N44" s="12"/>
      <c r="O44" s="12">
        <v>377290.62</v>
      </c>
      <c r="P44" s="12">
        <f t="shared" si="13"/>
        <v>-377290.62</v>
      </c>
      <c r="Q44" s="13"/>
      <c r="R44" s="12">
        <f t="shared" si="10"/>
        <v>31429000</v>
      </c>
      <c r="S44" s="12">
        <f t="shared" si="10"/>
        <v>26828401.34</v>
      </c>
      <c r="T44" s="14">
        <f t="shared" si="14"/>
        <v>4600598.66</v>
      </c>
      <c r="U44" s="17">
        <f t="shared" si="7"/>
        <v>0.85361931146393455</v>
      </c>
    </row>
    <row r="45" spans="2:23" ht="24.95" customHeight="1">
      <c r="B45" s="18"/>
      <c r="C45" s="10"/>
      <c r="D45" s="29" t="s">
        <v>46</v>
      </c>
      <c r="E45" s="22"/>
      <c r="F45" s="12">
        <v>62540000</v>
      </c>
      <c r="G45" s="12">
        <v>53426160.090000004</v>
      </c>
      <c r="H45" s="12">
        <f>+F45-G45</f>
        <v>9113839.9099999964</v>
      </c>
      <c r="I45" s="13"/>
      <c r="J45" s="12"/>
      <c r="K45" s="12"/>
      <c r="L45" s="12">
        <f>+J45-K45</f>
        <v>0</v>
      </c>
      <c r="M45" s="12"/>
      <c r="N45" s="12">
        <f>78735+206790+355725+343400+182387</f>
        <v>1167037</v>
      </c>
      <c r="O45" s="12">
        <f>75473.52+170101.57+341882.84+203491.94</f>
        <v>790949.87000000011</v>
      </c>
      <c r="P45" s="12">
        <f>+N45-O45</f>
        <v>376087.12999999989</v>
      </c>
      <c r="Q45" s="13"/>
      <c r="R45" s="12">
        <f>+F45+J45+N45</f>
        <v>63707037</v>
      </c>
      <c r="S45" s="12">
        <f t="shared" si="10"/>
        <v>54217109.960000001</v>
      </c>
      <c r="T45" s="14">
        <f t="shared" si="14"/>
        <v>9489927.0399999991</v>
      </c>
      <c r="U45" s="17">
        <f t="shared" si="7"/>
        <v>0.85103800950592001</v>
      </c>
      <c r="W45" s="30"/>
    </row>
    <row r="46" spans="2:23" ht="24.95" customHeight="1">
      <c r="B46" s="18"/>
      <c r="C46" s="10"/>
      <c r="D46" s="25" t="s">
        <v>47</v>
      </c>
      <c r="E46" s="22"/>
      <c r="F46" s="12">
        <v>22690500</v>
      </c>
      <c r="G46" s="12">
        <v>16023665.26</v>
      </c>
      <c r="H46" s="12">
        <f>+F46-G46</f>
        <v>6666834.7400000002</v>
      </c>
      <c r="I46" s="13"/>
      <c r="J46" s="12"/>
      <c r="K46" s="12"/>
      <c r="L46" s="12">
        <f>+J46-K46</f>
        <v>0</v>
      </c>
      <c r="M46" s="12"/>
      <c r="N46" s="12">
        <v>657129</v>
      </c>
      <c r="O46" s="12">
        <v>650007.01</v>
      </c>
      <c r="P46" s="12">
        <f>+N46-O46</f>
        <v>7121.9899999999907</v>
      </c>
      <c r="Q46" s="13"/>
      <c r="R46" s="12">
        <f>+F46+J46+N46</f>
        <v>23347629</v>
      </c>
      <c r="S46" s="12">
        <f t="shared" si="10"/>
        <v>16673672.27</v>
      </c>
      <c r="T46" s="14">
        <f t="shared" si="14"/>
        <v>6673956.7300000004</v>
      </c>
      <c r="U46" s="17">
        <f t="shared" si="7"/>
        <v>0.71414841609826851</v>
      </c>
    </row>
    <row r="47" spans="2:23" ht="27.75" customHeight="1">
      <c r="B47" s="18"/>
      <c r="C47" s="10"/>
      <c r="D47" s="10"/>
      <c r="E47" s="22"/>
      <c r="F47" s="12"/>
      <c r="G47" s="12"/>
      <c r="H47" s="12"/>
      <c r="I47" s="13"/>
      <c r="J47" s="12"/>
      <c r="K47" s="12"/>
      <c r="L47" s="12"/>
      <c r="M47" s="12"/>
      <c r="N47" s="12"/>
      <c r="O47" s="12"/>
      <c r="P47" s="12"/>
      <c r="Q47" s="13"/>
      <c r="R47" s="12"/>
      <c r="S47" s="12"/>
      <c r="T47" s="14"/>
      <c r="U47" s="17"/>
    </row>
    <row r="48" spans="2:23" ht="24.95" customHeight="1">
      <c r="B48" s="18"/>
      <c r="C48" s="24" t="s">
        <v>48</v>
      </c>
      <c r="D48" s="10"/>
      <c r="E48" s="22"/>
      <c r="F48" s="12"/>
      <c r="G48" s="12"/>
      <c r="H48" s="12"/>
      <c r="I48" s="13"/>
      <c r="J48" s="12"/>
      <c r="K48" s="12"/>
      <c r="L48" s="12"/>
      <c r="M48" s="12"/>
      <c r="N48" s="12"/>
      <c r="O48" s="12"/>
      <c r="P48" s="12"/>
      <c r="Q48" s="13"/>
      <c r="R48" s="12"/>
      <c r="S48" s="12"/>
      <c r="T48" s="14"/>
      <c r="U48" s="17"/>
    </row>
    <row r="49" spans="2:21" ht="24.95" customHeight="1">
      <c r="B49" s="18"/>
      <c r="C49" s="10"/>
      <c r="D49" s="10"/>
      <c r="E49" s="10" t="s">
        <v>49</v>
      </c>
      <c r="F49" s="12">
        <v>14192000</v>
      </c>
      <c r="G49" s="12">
        <v>14425752.449999999</v>
      </c>
      <c r="H49" s="12">
        <f>+F49-G49</f>
        <v>-233752.44999999925</v>
      </c>
      <c r="I49" s="13"/>
      <c r="J49" s="12"/>
      <c r="K49" s="12"/>
      <c r="L49" s="12">
        <f>+J49-K49</f>
        <v>0</v>
      </c>
      <c r="M49" s="12"/>
      <c r="N49" s="12"/>
      <c r="O49" s="12"/>
      <c r="P49" s="12">
        <f>+N49-O49</f>
        <v>0</v>
      </c>
      <c r="Q49" s="13"/>
      <c r="R49" s="12">
        <f>+F49+J49+N49</f>
        <v>14192000</v>
      </c>
      <c r="S49" s="12">
        <f>+G49+K49+O49</f>
        <v>14425752.449999999</v>
      </c>
      <c r="T49" s="14">
        <f>+R49-S49</f>
        <v>-233752.44999999925</v>
      </c>
      <c r="U49" s="17">
        <f t="shared" si="7"/>
        <v>1.0164707194193912</v>
      </c>
    </row>
    <row r="50" spans="2:21" ht="24.95" customHeight="1">
      <c r="B50" s="18"/>
      <c r="C50" s="10"/>
      <c r="D50" s="10"/>
      <c r="E50" s="10" t="s">
        <v>50</v>
      </c>
      <c r="F50" s="12">
        <v>31190000</v>
      </c>
      <c r="G50" s="12">
        <v>31569960.23</v>
      </c>
      <c r="H50" s="12">
        <f>+F50-G50</f>
        <v>-379960.23000000045</v>
      </c>
      <c r="I50" s="13"/>
      <c r="J50" s="12"/>
      <c r="K50" s="12"/>
      <c r="L50" s="12">
        <f>+J50-K50</f>
        <v>0</v>
      </c>
      <c r="M50" s="12"/>
      <c r="N50" s="12"/>
      <c r="O50" s="12"/>
      <c r="P50" s="12">
        <f>+N50-O50</f>
        <v>0</v>
      </c>
      <c r="Q50" s="13"/>
      <c r="R50" s="12">
        <f>+F50+J50+N50</f>
        <v>31190000</v>
      </c>
      <c r="S50" s="12">
        <f>+G50+K50+O50</f>
        <v>31569960.23</v>
      </c>
      <c r="T50" s="14">
        <f>+R50-S50</f>
        <v>-379960.23000000045</v>
      </c>
      <c r="U50" s="17">
        <f t="shared" si="7"/>
        <v>1.0121821170246874</v>
      </c>
    </row>
    <row r="51" spans="2:21" ht="27.75" customHeight="1">
      <c r="B51" s="18"/>
      <c r="C51" s="10"/>
      <c r="D51" s="10"/>
      <c r="E51" s="31" t="s">
        <v>51</v>
      </c>
      <c r="F51" s="32">
        <f t="shared" ref="F51:T51" si="15">SUM(F13:F48)</f>
        <v>1344146888</v>
      </c>
      <c r="G51" s="32">
        <f t="shared" si="15"/>
        <v>841534343.43000007</v>
      </c>
      <c r="H51" s="32">
        <f t="shared" si="15"/>
        <v>502612544.56999993</v>
      </c>
      <c r="I51" s="32">
        <f t="shared" si="15"/>
        <v>2208000</v>
      </c>
      <c r="J51" s="32">
        <f t="shared" si="15"/>
        <v>24718397.369999997</v>
      </c>
      <c r="K51" s="32">
        <f t="shared" si="15"/>
        <v>12638375.310000001</v>
      </c>
      <c r="L51" s="32">
        <f>SUM(L13:L48)</f>
        <v>12080022.059999999</v>
      </c>
      <c r="M51" s="32">
        <f t="shared" si="15"/>
        <v>0</v>
      </c>
      <c r="N51" s="32">
        <f t="shared" si="15"/>
        <v>9457535.5</v>
      </c>
      <c r="O51" s="32">
        <f t="shared" si="15"/>
        <v>7155862.6299999999</v>
      </c>
      <c r="P51" s="32">
        <f>SUM(P13:P48)</f>
        <v>2301672.87</v>
      </c>
      <c r="Q51" s="32">
        <f t="shared" si="15"/>
        <v>0</v>
      </c>
      <c r="R51" s="32">
        <f t="shared" si="15"/>
        <v>1378322820.8699999</v>
      </c>
      <c r="S51" s="32">
        <f t="shared" si="15"/>
        <v>861328581.36999989</v>
      </c>
      <c r="T51" s="32">
        <f t="shared" si="15"/>
        <v>516994239.5</v>
      </c>
      <c r="U51" s="17">
        <f t="shared" si="7"/>
        <v>0.62491062930114416</v>
      </c>
    </row>
    <row r="52" spans="2:21" ht="27.75" customHeight="1">
      <c r="B52" s="18"/>
      <c r="C52" s="10"/>
      <c r="D52" s="10"/>
      <c r="E52" s="31"/>
      <c r="F52" s="32"/>
      <c r="G52" s="32"/>
      <c r="H52" s="32"/>
      <c r="I52" s="33"/>
      <c r="J52" s="32"/>
      <c r="K52" s="32"/>
      <c r="L52" s="32"/>
      <c r="M52" s="32"/>
      <c r="N52" s="32"/>
      <c r="O52" s="32"/>
      <c r="P52" s="32"/>
      <c r="Q52" s="33"/>
      <c r="R52" s="32"/>
      <c r="S52" s="32"/>
      <c r="T52" s="34"/>
      <c r="U52" s="17"/>
    </row>
    <row r="53" spans="2:21" ht="24.95" customHeight="1">
      <c r="B53" s="18"/>
      <c r="C53" s="24" t="s">
        <v>52</v>
      </c>
      <c r="D53" s="10"/>
      <c r="E53" s="22"/>
      <c r="F53" s="12">
        <f>SUM(F55:F80)</f>
        <v>585448398</v>
      </c>
      <c r="G53" s="12">
        <f t="shared" ref="G53:T53" si="16">SUM(G55:G80)</f>
        <v>453197849.75</v>
      </c>
      <c r="H53" s="12">
        <f t="shared" si="16"/>
        <v>132250548.25</v>
      </c>
      <c r="I53" s="12">
        <f t="shared" si="16"/>
        <v>0</v>
      </c>
      <c r="J53" s="12">
        <f>SUM(J55:J80)</f>
        <v>129724136.93000001</v>
      </c>
      <c r="K53" s="12">
        <f t="shared" ref="K53" si="17">SUM(K55:K80)</f>
        <v>92752592.379999995</v>
      </c>
      <c r="L53" s="12">
        <f>SUM(L55:L80)</f>
        <v>36971544.550000012</v>
      </c>
      <c r="M53" s="12">
        <f t="shared" si="16"/>
        <v>0</v>
      </c>
      <c r="N53" s="12">
        <f>SUM(N55:N80)</f>
        <v>23728388</v>
      </c>
      <c r="O53" s="12">
        <f t="shared" ref="O53" si="18">SUM(O55:O80)</f>
        <v>21179925.369999997</v>
      </c>
      <c r="P53" s="12">
        <f>SUM(P55:P80)</f>
        <v>2548462.63</v>
      </c>
      <c r="Q53" s="12">
        <f t="shared" si="16"/>
        <v>0</v>
      </c>
      <c r="R53" s="12">
        <f t="shared" si="16"/>
        <v>738900922.92999995</v>
      </c>
      <c r="S53" s="12">
        <f t="shared" si="16"/>
        <v>567130367.5</v>
      </c>
      <c r="T53" s="14">
        <f t="shared" si="16"/>
        <v>171770555.43000001</v>
      </c>
      <c r="U53" s="17">
        <f>+S53/R53</f>
        <v>0.76753235772277861</v>
      </c>
    </row>
    <row r="54" spans="2:21" ht="24.95" customHeight="1">
      <c r="B54" s="18"/>
      <c r="C54" s="20" t="s">
        <v>53</v>
      </c>
      <c r="D54" s="20"/>
      <c r="E54" s="10"/>
      <c r="F54" s="12"/>
      <c r="G54" s="12"/>
      <c r="H54" s="12">
        <f t="shared" ref="H54:H59" si="19">+F54-G54</f>
        <v>0</v>
      </c>
      <c r="I54" s="13"/>
      <c r="J54" s="12"/>
      <c r="K54" s="12"/>
      <c r="L54" s="12">
        <f t="shared" ref="L54:L59" si="20">+J54-K54</f>
        <v>0</v>
      </c>
      <c r="M54" s="12"/>
      <c r="N54" s="12"/>
      <c r="O54" s="12"/>
      <c r="P54" s="12">
        <f t="shared" ref="P54:P59" si="21">+N54-O54</f>
        <v>0</v>
      </c>
      <c r="Q54" s="13"/>
      <c r="R54" s="12"/>
      <c r="S54" s="12"/>
      <c r="T54" s="14"/>
      <c r="U54" s="17"/>
    </row>
    <row r="55" spans="2:21" ht="24.95" customHeight="1">
      <c r="B55" s="18"/>
      <c r="C55" s="20"/>
      <c r="D55" s="20"/>
      <c r="E55" s="10" t="s">
        <v>54</v>
      </c>
      <c r="F55" s="35">
        <v>42959000</v>
      </c>
      <c r="G55" s="36">
        <v>42959000</v>
      </c>
      <c r="H55" s="12">
        <f t="shared" si="19"/>
        <v>0</v>
      </c>
      <c r="I55" s="13"/>
      <c r="J55" s="35">
        <v>21905315.140000001</v>
      </c>
      <c r="K55" s="36">
        <v>454507.38</v>
      </c>
      <c r="L55" s="12">
        <f t="shared" si="20"/>
        <v>21450807.760000002</v>
      </c>
      <c r="M55" s="12"/>
      <c r="N55" s="35"/>
      <c r="O55" s="36"/>
      <c r="P55" s="12">
        <f t="shared" si="21"/>
        <v>0</v>
      </c>
      <c r="Q55" s="13"/>
      <c r="R55" s="12">
        <f>+F55+J55+N55</f>
        <v>64864315.140000001</v>
      </c>
      <c r="S55" s="12">
        <f t="shared" ref="R55:S59" si="22">+G55+K55+O55</f>
        <v>43413507.380000003</v>
      </c>
      <c r="T55" s="14">
        <f>+R55-S55</f>
        <v>21450807.759999998</v>
      </c>
      <c r="U55" s="17">
        <f t="shared" si="7"/>
        <v>0.66929724435228199</v>
      </c>
    </row>
    <row r="56" spans="2:21" ht="30" customHeight="1">
      <c r="B56" s="18"/>
      <c r="C56" s="10"/>
      <c r="D56" s="10"/>
      <c r="E56" s="21" t="s">
        <v>55</v>
      </c>
      <c r="F56" s="36">
        <v>42712000</v>
      </c>
      <c r="G56" s="37">
        <v>45166076.880000003</v>
      </c>
      <c r="H56" s="12">
        <f t="shared" si="19"/>
        <v>-2454076.8800000027</v>
      </c>
      <c r="I56" s="13"/>
      <c r="J56" s="36"/>
      <c r="K56" s="37"/>
      <c r="L56" s="12">
        <f t="shared" si="20"/>
        <v>0</v>
      </c>
      <c r="M56" s="38"/>
      <c r="N56" s="36"/>
      <c r="O56" s="37"/>
      <c r="P56" s="12">
        <f t="shared" si="21"/>
        <v>0</v>
      </c>
      <c r="Q56" s="39"/>
      <c r="R56" s="38">
        <f t="shared" si="22"/>
        <v>42712000</v>
      </c>
      <c r="S56" s="38">
        <f t="shared" si="22"/>
        <v>45166076.880000003</v>
      </c>
      <c r="T56" s="40">
        <f>+R56-S56</f>
        <v>-2454076.8800000027</v>
      </c>
      <c r="U56" s="17">
        <f t="shared" si="7"/>
        <v>1.0574563794718113</v>
      </c>
    </row>
    <row r="57" spans="2:21" ht="30" customHeight="1">
      <c r="B57" s="18"/>
      <c r="C57" s="10"/>
      <c r="D57" s="10"/>
      <c r="E57" s="21" t="s">
        <v>56</v>
      </c>
      <c r="F57" s="12">
        <v>34194051</v>
      </c>
      <c r="G57" s="12">
        <v>10650879.779999999</v>
      </c>
      <c r="H57" s="12">
        <f t="shared" si="19"/>
        <v>23543171.219999999</v>
      </c>
      <c r="I57" s="13"/>
      <c r="J57" s="12"/>
      <c r="K57" s="12"/>
      <c r="L57" s="12">
        <f t="shared" si="20"/>
        <v>0</v>
      </c>
      <c r="M57" s="12"/>
      <c r="N57" s="12">
        <v>837119</v>
      </c>
      <c r="O57" s="12">
        <v>837119</v>
      </c>
      <c r="P57" s="12">
        <f t="shared" si="21"/>
        <v>0</v>
      </c>
      <c r="Q57" s="13"/>
      <c r="R57" s="12">
        <f t="shared" si="22"/>
        <v>35031170</v>
      </c>
      <c r="S57" s="12">
        <f t="shared" si="22"/>
        <v>11487998.779999999</v>
      </c>
      <c r="T57" s="14">
        <f>+R57-S57</f>
        <v>23543171.219999999</v>
      </c>
      <c r="U57" s="17">
        <f t="shared" si="7"/>
        <v>0.32793648570687189</v>
      </c>
    </row>
    <row r="58" spans="2:21" ht="24.95" customHeight="1">
      <c r="B58" s="18"/>
      <c r="C58" s="10"/>
      <c r="D58" s="10"/>
      <c r="E58" s="28" t="s">
        <v>57</v>
      </c>
      <c r="F58" s="12">
        <v>1940000</v>
      </c>
      <c r="G58" s="12">
        <v>1925927.72</v>
      </c>
      <c r="H58" s="12">
        <f t="shared" si="19"/>
        <v>14072.280000000028</v>
      </c>
      <c r="I58" s="13"/>
      <c r="J58" s="12">
        <v>450000</v>
      </c>
      <c r="K58" s="12">
        <v>14806</v>
      </c>
      <c r="L58" s="12">
        <f t="shared" si="20"/>
        <v>435194</v>
      </c>
      <c r="M58" s="12"/>
      <c r="N58" s="12">
        <v>3327000</v>
      </c>
      <c r="O58" s="12">
        <v>3949252.93</v>
      </c>
      <c r="P58" s="12">
        <f t="shared" si="21"/>
        <v>-622252.93000000017</v>
      </c>
      <c r="Q58" s="13"/>
      <c r="R58" s="12">
        <f t="shared" si="22"/>
        <v>5717000</v>
      </c>
      <c r="S58" s="12">
        <f t="shared" si="22"/>
        <v>5889986.6500000004</v>
      </c>
      <c r="T58" s="14">
        <f>+R58-S58</f>
        <v>-172986.65000000037</v>
      </c>
      <c r="U58" s="17">
        <f t="shared" si="7"/>
        <v>1.0302582910617457</v>
      </c>
    </row>
    <row r="59" spans="2:21" ht="29.25" customHeight="1">
      <c r="B59" s="18"/>
      <c r="C59" s="10"/>
      <c r="D59" s="10"/>
      <c r="E59" s="21" t="s">
        <v>58</v>
      </c>
      <c r="F59" s="12">
        <v>3272000</v>
      </c>
      <c r="G59" s="12">
        <v>4296651.57</v>
      </c>
      <c r="H59" s="12">
        <f t="shared" si="19"/>
        <v>-1024651.5700000003</v>
      </c>
      <c r="I59" s="13"/>
      <c r="J59" s="12"/>
      <c r="K59" s="12"/>
      <c r="L59" s="12">
        <f t="shared" si="20"/>
        <v>0</v>
      </c>
      <c r="M59" s="12"/>
      <c r="N59" s="12"/>
      <c r="O59" s="12"/>
      <c r="P59" s="12">
        <f t="shared" si="21"/>
        <v>0</v>
      </c>
      <c r="Q59" s="13"/>
      <c r="R59" s="12">
        <f t="shared" si="22"/>
        <v>3272000</v>
      </c>
      <c r="S59" s="12">
        <f t="shared" si="22"/>
        <v>4296651.57</v>
      </c>
      <c r="T59" s="14">
        <f>+R59-S59</f>
        <v>-1024651.5700000003</v>
      </c>
      <c r="U59" s="17">
        <f t="shared" si="7"/>
        <v>1.3131575702933986</v>
      </c>
    </row>
    <row r="60" spans="2:21" ht="24.95" customHeight="1">
      <c r="B60" s="18"/>
      <c r="C60" s="10"/>
      <c r="D60" s="10"/>
      <c r="E60" s="21"/>
      <c r="F60" s="12"/>
      <c r="G60" s="12"/>
      <c r="H60" s="12"/>
      <c r="I60" s="13"/>
      <c r="J60" s="12"/>
      <c r="K60" s="12"/>
      <c r="L60" s="12"/>
      <c r="M60" s="12"/>
      <c r="N60" s="12"/>
      <c r="O60" s="12"/>
      <c r="P60" s="12"/>
      <c r="Q60" s="13"/>
      <c r="R60" s="12"/>
      <c r="S60" s="12"/>
      <c r="T60" s="14"/>
      <c r="U60" s="17"/>
    </row>
    <row r="61" spans="2:21" ht="24.95" customHeight="1">
      <c r="B61" s="18"/>
      <c r="C61" s="20" t="s">
        <v>59</v>
      </c>
      <c r="D61" s="20"/>
      <c r="E61" s="10"/>
      <c r="F61" s="12"/>
      <c r="G61" s="12"/>
      <c r="H61" s="12"/>
      <c r="I61" s="13"/>
      <c r="J61" s="12"/>
      <c r="K61" s="12"/>
      <c r="L61" s="12"/>
      <c r="M61" s="12"/>
      <c r="N61" s="12"/>
      <c r="O61" s="12"/>
      <c r="P61" s="12"/>
      <c r="Q61" s="13"/>
      <c r="R61" s="12"/>
      <c r="S61" s="12"/>
      <c r="T61" s="14"/>
      <c r="U61" s="17"/>
    </row>
    <row r="62" spans="2:21" ht="24.95" customHeight="1">
      <c r="B62" s="18"/>
      <c r="C62" s="20"/>
      <c r="D62" s="20"/>
      <c r="E62" s="10" t="s">
        <v>60</v>
      </c>
      <c r="F62" s="12">
        <v>25448756</v>
      </c>
      <c r="G62" s="12">
        <v>25448756</v>
      </c>
      <c r="H62" s="12">
        <f>+F62-G62</f>
        <v>0</v>
      </c>
      <c r="I62" s="13"/>
      <c r="J62" s="12"/>
      <c r="K62" s="12">
        <v>16785517.760000002</v>
      </c>
      <c r="L62" s="12">
        <f>+J62-K62</f>
        <v>-16785517.760000002</v>
      </c>
      <c r="M62" s="12"/>
      <c r="N62" s="12"/>
      <c r="O62" s="12"/>
      <c r="P62" s="12">
        <f>+N62-O62</f>
        <v>0</v>
      </c>
      <c r="Q62" s="13"/>
      <c r="R62" s="12">
        <f t="shared" ref="R62:S65" si="23">+F62+J62+N62</f>
        <v>25448756</v>
      </c>
      <c r="S62" s="12">
        <f t="shared" si="23"/>
        <v>42234273.760000005</v>
      </c>
      <c r="T62" s="14">
        <f>+R62-S62</f>
        <v>-16785517.760000005</v>
      </c>
      <c r="U62" s="17">
        <f t="shared" si="7"/>
        <v>1.6595810718606443</v>
      </c>
    </row>
    <row r="63" spans="2:21" ht="30" customHeight="1">
      <c r="B63" s="18"/>
      <c r="C63" s="10"/>
      <c r="D63" s="10"/>
      <c r="E63" s="21" t="s">
        <v>61</v>
      </c>
      <c r="F63" s="12">
        <v>21728155</v>
      </c>
      <c r="G63" s="12">
        <v>19263151.719999999</v>
      </c>
      <c r="H63" s="12">
        <f>+F63-G63</f>
        <v>2465003.2800000012</v>
      </c>
      <c r="I63" s="13"/>
      <c r="J63" s="12"/>
      <c r="K63" s="12"/>
      <c r="L63" s="12">
        <f>+J63-K63</f>
        <v>0</v>
      </c>
      <c r="M63" s="12"/>
      <c r="N63" s="12"/>
      <c r="O63" s="12"/>
      <c r="P63" s="12">
        <f>+N63-O63</f>
        <v>0</v>
      </c>
      <c r="Q63" s="13"/>
      <c r="R63" s="12">
        <f t="shared" si="23"/>
        <v>21728155</v>
      </c>
      <c r="S63" s="12">
        <f t="shared" si="23"/>
        <v>19263151.719999999</v>
      </c>
      <c r="T63" s="14">
        <f>+R63-S63</f>
        <v>2465003.2800000012</v>
      </c>
      <c r="U63" s="17">
        <f t="shared" si="7"/>
        <v>0.88655257291748879</v>
      </c>
    </row>
    <row r="64" spans="2:21" ht="30" customHeight="1">
      <c r="B64" s="18"/>
      <c r="C64" s="10"/>
      <c r="D64" s="10"/>
      <c r="E64" s="22" t="s">
        <v>62</v>
      </c>
      <c r="F64" s="12">
        <v>23414358</v>
      </c>
      <c r="G64" s="12">
        <v>24811033.859999999</v>
      </c>
      <c r="H64" s="12">
        <f>+F64-G64</f>
        <v>-1396675.8599999994</v>
      </c>
      <c r="I64" s="13"/>
      <c r="J64" s="12">
        <v>6010000</v>
      </c>
      <c r="K64" s="12">
        <v>6010000</v>
      </c>
      <c r="L64" s="12">
        <f>+J64-K64</f>
        <v>0</v>
      </c>
      <c r="M64" s="12"/>
      <c r="N64" s="12">
        <v>3185355</v>
      </c>
      <c r="O64" s="12">
        <v>848514.68</v>
      </c>
      <c r="P64" s="12">
        <f>+N64-O64</f>
        <v>2336840.3199999998</v>
      </c>
      <c r="Q64" s="13"/>
      <c r="R64" s="12">
        <f t="shared" si="23"/>
        <v>32609713</v>
      </c>
      <c r="S64" s="12">
        <f t="shared" si="23"/>
        <v>31669548.539999999</v>
      </c>
      <c r="T64" s="14">
        <f>+R64-S64</f>
        <v>940164.46000000089</v>
      </c>
      <c r="U64" s="17">
        <f t="shared" si="7"/>
        <v>0.97116918937618368</v>
      </c>
    </row>
    <row r="65" spans="2:21" ht="30" customHeight="1">
      <c r="B65" s="18"/>
      <c r="C65" s="10"/>
      <c r="D65" s="10"/>
      <c r="E65" s="21" t="s">
        <v>63</v>
      </c>
      <c r="F65" s="12">
        <v>19057360</v>
      </c>
      <c r="G65" s="12">
        <v>19130846.780000001</v>
      </c>
      <c r="H65" s="12">
        <f>+F65-G65</f>
        <v>-73486.780000001192</v>
      </c>
      <c r="I65" s="13"/>
      <c r="J65" s="12">
        <v>8897616</v>
      </c>
      <c r="K65" s="12">
        <v>7447243.0300000003</v>
      </c>
      <c r="L65" s="12">
        <f>+J65-K65</f>
        <v>1450372.9699999997</v>
      </c>
      <c r="M65" s="12"/>
      <c r="N65" s="12"/>
      <c r="O65" s="12"/>
      <c r="P65" s="12">
        <f>+N65-O65</f>
        <v>0</v>
      </c>
      <c r="Q65" s="13"/>
      <c r="R65" s="12">
        <f t="shared" si="23"/>
        <v>27954976</v>
      </c>
      <c r="S65" s="12">
        <f t="shared" si="23"/>
        <v>26578089.810000002</v>
      </c>
      <c r="T65" s="14">
        <f>+R65-S65</f>
        <v>1376886.1899999976</v>
      </c>
      <c r="U65" s="17">
        <f t="shared" si="7"/>
        <v>0.95074629325383797</v>
      </c>
    </row>
    <row r="66" spans="2:21" ht="24.95" customHeight="1">
      <c r="B66" s="18"/>
      <c r="C66" s="10"/>
      <c r="D66" s="10"/>
      <c r="E66" s="21"/>
      <c r="F66" s="12"/>
      <c r="G66" s="12"/>
      <c r="H66" s="12"/>
      <c r="I66" s="13"/>
      <c r="J66" s="12"/>
      <c r="K66" s="124"/>
      <c r="L66" s="12"/>
      <c r="M66" s="12"/>
      <c r="N66" s="12"/>
      <c r="O66" s="12"/>
      <c r="P66" s="12"/>
      <c r="Q66" s="13"/>
      <c r="R66" s="12"/>
      <c r="S66" s="12"/>
      <c r="T66" s="14"/>
      <c r="U66" s="17"/>
    </row>
    <row r="67" spans="2:21" ht="24.95" customHeight="1">
      <c r="B67" s="18"/>
      <c r="C67" s="20" t="s">
        <v>64</v>
      </c>
      <c r="D67" s="20"/>
      <c r="E67" s="10"/>
      <c r="F67" s="12"/>
      <c r="G67" s="12"/>
      <c r="H67" s="12"/>
      <c r="I67" s="13"/>
      <c r="J67" s="12"/>
      <c r="K67" s="12"/>
      <c r="L67" s="12"/>
      <c r="M67" s="12"/>
      <c r="N67" s="12"/>
      <c r="O67" s="12"/>
      <c r="P67" s="12"/>
      <c r="Q67" s="13"/>
      <c r="R67" s="12"/>
      <c r="S67" s="12"/>
      <c r="T67" s="14"/>
      <c r="U67" s="17"/>
    </row>
    <row r="68" spans="2:21" ht="24.95" customHeight="1">
      <c r="B68" s="18"/>
      <c r="C68" s="20"/>
      <c r="D68" s="20"/>
      <c r="E68" s="10" t="s">
        <v>65</v>
      </c>
      <c r="F68" s="12">
        <v>15107000</v>
      </c>
      <c r="G68" s="12"/>
      <c r="H68" s="12">
        <f>+F68-G68</f>
        <v>15107000</v>
      </c>
      <c r="I68" s="13"/>
      <c r="J68" s="12">
        <v>83847000</v>
      </c>
      <c r="K68" s="12">
        <v>54760807.209999993</v>
      </c>
      <c r="L68" s="12">
        <f>+J68-K68</f>
        <v>29086192.790000007</v>
      </c>
      <c r="M68" s="12"/>
      <c r="N68" s="12">
        <v>691155</v>
      </c>
      <c r="O68" s="12"/>
      <c r="P68" s="12">
        <f>+N68-O68</f>
        <v>691155</v>
      </c>
      <c r="Q68" s="13"/>
      <c r="R68" s="12">
        <f t="shared" ref="R68:S72" si="24">+F68+J68+N68</f>
        <v>99645155</v>
      </c>
      <c r="S68" s="12">
        <f t="shared" si="24"/>
        <v>54760807.209999993</v>
      </c>
      <c r="T68" s="14">
        <f>+R68-S68</f>
        <v>44884347.790000007</v>
      </c>
      <c r="U68" s="17">
        <f t="shared" si="7"/>
        <v>0.5495581517234831</v>
      </c>
    </row>
    <row r="69" spans="2:21" ht="30.75" customHeight="1">
      <c r="B69" s="18"/>
      <c r="C69" s="10"/>
      <c r="D69" s="10"/>
      <c r="E69" s="21" t="s">
        <v>66</v>
      </c>
      <c r="F69" s="12">
        <v>73779374</v>
      </c>
      <c r="G69" s="12">
        <v>94092010.670000002</v>
      </c>
      <c r="H69" s="12">
        <f>+F69-G69</f>
        <v>-20312636.670000002</v>
      </c>
      <c r="I69" s="13"/>
      <c r="J69" s="12">
        <v>5100477</v>
      </c>
      <c r="K69" s="12">
        <v>5100477</v>
      </c>
      <c r="L69" s="12">
        <f>+J69-K69</f>
        <v>0</v>
      </c>
      <c r="M69" s="12"/>
      <c r="N69" s="12"/>
      <c r="O69" s="12"/>
      <c r="P69" s="12">
        <f>+N69-O69</f>
        <v>0</v>
      </c>
      <c r="Q69" s="13"/>
      <c r="R69" s="12">
        <f t="shared" si="24"/>
        <v>78879851</v>
      </c>
      <c r="S69" s="12">
        <f t="shared" si="24"/>
        <v>99192487.670000002</v>
      </c>
      <c r="T69" s="14">
        <f>+R69-S69</f>
        <v>-20312636.670000002</v>
      </c>
      <c r="U69" s="17">
        <f t="shared" si="7"/>
        <v>1.2575136287972959</v>
      </c>
    </row>
    <row r="70" spans="2:21" ht="30.75" customHeight="1">
      <c r="B70" s="18"/>
      <c r="C70" s="10"/>
      <c r="D70" s="10"/>
      <c r="E70" s="21" t="s">
        <v>67</v>
      </c>
      <c r="F70" s="12">
        <v>15638000</v>
      </c>
      <c r="G70" s="12">
        <v>15764969.35</v>
      </c>
      <c r="H70" s="12">
        <f>+F70-G70</f>
        <v>-126969.34999999963</v>
      </c>
      <c r="I70" s="13"/>
      <c r="J70" s="12"/>
      <c r="K70" s="12"/>
      <c r="L70" s="12">
        <f>+J70-K70</f>
        <v>0</v>
      </c>
      <c r="M70" s="12"/>
      <c r="N70" s="12"/>
      <c r="O70" s="12"/>
      <c r="P70" s="12">
        <f>+N70-O70</f>
        <v>0</v>
      </c>
      <c r="Q70" s="13"/>
      <c r="R70" s="12">
        <f t="shared" si="24"/>
        <v>15638000</v>
      </c>
      <c r="S70" s="12">
        <f t="shared" si="24"/>
        <v>15764969.35</v>
      </c>
      <c r="T70" s="14">
        <f>+R70-S70</f>
        <v>-126969.34999999963</v>
      </c>
      <c r="U70" s="17">
        <f t="shared" si="7"/>
        <v>1.0081192831564139</v>
      </c>
    </row>
    <row r="71" spans="2:21" ht="30.75" customHeight="1">
      <c r="B71" s="18"/>
      <c r="C71" s="10"/>
      <c r="D71" s="10"/>
      <c r="E71" s="22" t="s">
        <v>68</v>
      </c>
      <c r="F71" s="12">
        <v>19669825</v>
      </c>
      <c r="G71" s="12">
        <v>19478280.609999999</v>
      </c>
      <c r="H71" s="12">
        <f>+F71-G71</f>
        <v>191544.3900000006</v>
      </c>
      <c r="I71" s="13"/>
      <c r="J71" s="12">
        <v>1374708</v>
      </c>
      <c r="K71" s="12">
        <v>1366765.05</v>
      </c>
      <c r="L71" s="12">
        <f>+J71-K71</f>
        <v>7942.9499999999534</v>
      </c>
      <c r="M71" s="12"/>
      <c r="N71" s="12"/>
      <c r="O71" s="12"/>
      <c r="P71" s="12">
        <f>+N71-O71</f>
        <v>0</v>
      </c>
      <c r="Q71" s="13"/>
      <c r="R71" s="12">
        <f t="shared" si="24"/>
        <v>21044533</v>
      </c>
      <c r="S71" s="12">
        <f t="shared" si="24"/>
        <v>20845045.66</v>
      </c>
      <c r="T71" s="14">
        <f>+R71-S71</f>
        <v>199487.33999999985</v>
      </c>
      <c r="U71" s="17">
        <f t="shared" si="7"/>
        <v>0.99052070483103616</v>
      </c>
    </row>
    <row r="72" spans="2:21" ht="24.95" customHeight="1">
      <c r="B72" s="18"/>
      <c r="C72" s="10"/>
      <c r="D72" s="10"/>
      <c r="E72" s="41" t="s">
        <v>69</v>
      </c>
      <c r="F72" s="12">
        <v>6432000</v>
      </c>
      <c r="G72" s="12">
        <v>4366519.4000000004</v>
      </c>
      <c r="H72" s="12">
        <f>+F72-G72</f>
        <v>2065480.5999999996</v>
      </c>
      <c r="I72" s="13"/>
      <c r="J72" s="12"/>
      <c r="K72" s="12"/>
      <c r="L72" s="12">
        <f>+J72-K72</f>
        <v>0</v>
      </c>
      <c r="M72" s="12"/>
      <c r="N72" s="12"/>
      <c r="O72" s="12"/>
      <c r="P72" s="12">
        <f>+N72-O72</f>
        <v>0</v>
      </c>
      <c r="Q72" s="13"/>
      <c r="R72" s="12">
        <f t="shared" si="24"/>
        <v>6432000</v>
      </c>
      <c r="S72" s="12">
        <f t="shared" si="24"/>
        <v>4366519.4000000004</v>
      </c>
      <c r="T72" s="14">
        <f>+R72-S72</f>
        <v>2065480.5999999996</v>
      </c>
      <c r="U72" s="17">
        <f t="shared" si="7"/>
        <v>0.67887428482587076</v>
      </c>
    </row>
    <row r="73" spans="2:21" ht="24.95" customHeight="1">
      <c r="B73" s="18"/>
      <c r="C73" s="10"/>
      <c r="D73" s="10"/>
      <c r="E73" s="41"/>
      <c r="F73" s="12"/>
      <c r="G73" s="12"/>
      <c r="H73" s="12"/>
      <c r="I73" s="13"/>
      <c r="J73" s="12"/>
      <c r="K73" s="12"/>
      <c r="L73" s="12"/>
      <c r="M73" s="12"/>
      <c r="N73" s="12"/>
      <c r="O73" s="12"/>
      <c r="P73" s="12"/>
      <c r="Q73" s="13"/>
      <c r="R73" s="12"/>
      <c r="S73" s="12"/>
      <c r="T73" s="14"/>
      <c r="U73" s="17"/>
    </row>
    <row r="74" spans="2:21" ht="24.95" customHeight="1">
      <c r="B74" s="18"/>
      <c r="C74" s="20" t="s">
        <v>70</v>
      </c>
      <c r="D74" s="20"/>
      <c r="E74" s="10"/>
      <c r="F74" s="12"/>
      <c r="G74" s="12"/>
      <c r="H74" s="12"/>
      <c r="I74" s="13"/>
      <c r="J74" s="12"/>
      <c r="K74" s="12"/>
      <c r="L74" s="12"/>
      <c r="M74" s="12"/>
      <c r="N74" s="12"/>
      <c r="O74" s="12"/>
      <c r="P74" s="12"/>
      <c r="Q74" s="13"/>
      <c r="R74" s="12"/>
      <c r="S74" s="12"/>
      <c r="T74" s="14"/>
      <c r="U74" s="17"/>
    </row>
    <row r="75" spans="2:21" ht="24.95" customHeight="1">
      <c r="B75" s="18"/>
      <c r="C75" s="20"/>
      <c r="D75" s="20"/>
      <c r="E75" s="10" t="s">
        <v>71</v>
      </c>
      <c r="F75" s="12">
        <v>129103000</v>
      </c>
      <c r="G75" s="12">
        <v>40294212.799999997</v>
      </c>
      <c r="H75" s="12">
        <f t="shared" ref="H75:H80" si="25">+F75-G75</f>
        <v>88808787.200000003</v>
      </c>
      <c r="I75" s="13"/>
      <c r="J75" s="12">
        <v>2139020.79</v>
      </c>
      <c r="K75" s="12">
        <v>812468.95</v>
      </c>
      <c r="L75" s="12">
        <f t="shared" ref="L75:L80" si="26">+J75-K75</f>
        <v>1326551.8400000001</v>
      </c>
      <c r="M75" s="12"/>
      <c r="N75" s="12"/>
      <c r="O75" s="12"/>
      <c r="P75" s="12">
        <f t="shared" ref="P75:P80" si="27">+N75-O75</f>
        <v>0</v>
      </c>
      <c r="Q75" s="13"/>
      <c r="R75" s="12">
        <f t="shared" ref="R75:S80" si="28">+F75+J75+N75</f>
        <v>131242020.79000001</v>
      </c>
      <c r="S75" s="12">
        <f t="shared" si="28"/>
        <v>41106681.75</v>
      </c>
      <c r="T75" s="14">
        <f t="shared" ref="T75:T80" si="29">+R75-S75</f>
        <v>90135339.040000007</v>
      </c>
      <c r="U75" s="17">
        <f t="shared" ref="U75:U137" si="30">+S75/R75</f>
        <v>0.31321280716771871</v>
      </c>
    </row>
    <row r="76" spans="2:21" ht="28.5" customHeight="1">
      <c r="B76" s="18"/>
      <c r="C76" s="10"/>
      <c r="D76" s="10"/>
      <c r="E76" s="21" t="s">
        <v>72</v>
      </c>
      <c r="F76" s="12">
        <v>39737168</v>
      </c>
      <c r="G76" s="12">
        <v>34242102.969999999</v>
      </c>
      <c r="H76" s="12">
        <f t="shared" si="25"/>
        <v>5495065.0300000012</v>
      </c>
      <c r="I76" s="13"/>
      <c r="J76" s="12"/>
      <c r="K76" s="12"/>
      <c r="L76" s="12">
        <f t="shared" si="26"/>
        <v>0</v>
      </c>
      <c r="M76" s="12"/>
      <c r="N76" s="12"/>
      <c r="O76" s="12"/>
      <c r="P76" s="12">
        <f t="shared" si="27"/>
        <v>0</v>
      </c>
      <c r="Q76" s="13"/>
      <c r="R76" s="12">
        <f t="shared" si="28"/>
        <v>39737168</v>
      </c>
      <c r="S76" s="12">
        <f t="shared" si="28"/>
        <v>34242102.969999999</v>
      </c>
      <c r="T76" s="14">
        <f t="shared" si="29"/>
        <v>5495065.0300000012</v>
      </c>
      <c r="U76" s="17">
        <f t="shared" si="30"/>
        <v>0.86171472939390137</v>
      </c>
    </row>
    <row r="77" spans="2:21" ht="28.5" customHeight="1">
      <c r="B77" s="18"/>
      <c r="C77" s="10"/>
      <c r="D77" s="10"/>
      <c r="E77" s="21" t="s">
        <v>73</v>
      </c>
      <c r="F77" s="12">
        <v>2413000</v>
      </c>
      <c r="G77" s="12">
        <v>2398290.0300000003</v>
      </c>
      <c r="H77" s="12">
        <f t="shared" si="25"/>
        <v>14709.969999999739</v>
      </c>
      <c r="I77" s="13"/>
      <c r="J77" s="12"/>
      <c r="K77" s="12"/>
      <c r="L77" s="12">
        <f t="shared" si="26"/>
        <v>0</v>
      </c>
      <c r="M77" s="12"/>
      <c r="N77" s="12"/>
      <c r="O77" s="12"/>
      <c r="P77" s="12">
        <f t="shared" si="27"/>
        <v>0</v>
      </c>
      <c r="Q77" s="13"/>
      <c r="R77" s="12">
        <f t="shared" si="28"/>
        <v>2413000</v>
      </c>
      <c r="S77" s="12">
        <f t="shared" si="28"/>
        <v>2398290.0300000003</v>
      </c>
      <c r="T77" s="14">
        <f t="shared" si="29"/>
        <v>14709.969999999739</v>
      </c>
      <c r="U77" s="17">
        <f t="shared" si="30"/>
        <v>0.99390386655615426</v>
      </c>
    </row>
    <row r="78" spans="2:21" ht="28.5" customHeight="1">
      <c r="B78" s="18"/>
      <c r="C78" s="10"/>
      <c r="D78" s="10"/>
      <c r="E78" s="21" t="s">
        <v>74</v>
      </c>
      <c r="F78" s="12">
        <v>27570000</v>
      </c>
      <c r="G78" s="12">
        <v>20220528.07</v>
      </c>
      <c r="H78" s="12">
        <f t="shared" si="25"/>
        <v>7349471.9299999997</v>
      </c>
      <c r="I78" s="13"/>
      <c r="J78" s="12"/>
      <c r="K78" s="12"/>
      <c r="L78" s="12">
        <f t="shared" si="26"/>
        <v>0</v>
      </c>
      <c r="M78" s="12"/>
      <c r="N78" s="12"/>
      <c r="O78" s="12"/>
      <c r="P78" s="12">
        <f t="shared" si="27"/>
        <v>0</v>
      </c>
      <c r="Q78" s="13"/>
      <c r="R78" s="12">
        <f t="shared" si="28"/>
        <v>27570000</v>
      </c>
      <c r="S78" s="12">
        <f t="shared" si="28"/>
        <v>20220528.07</v>
      </c>
      <c r="T78" s="14">
        <f t="shared" si="29"/>
        <v>7349471.9299999997</v>
      </c>
      <c r="U78" s="17">
        <f t="shared" si="30"/>
        <v>0.7334250297424737</v>
      </c>
    </row>
    <row r="79" spans="2:21" ht="24.95" customHeight="1">
      <c r="B79" s="18"/>
      <c r="C79" s="10"/>
      <c r="D79" s="10"/>
      <c r="E79" s="28" t="s">
        <v>75</v>
      </c>
      <c r="F79" s="12">
        <v>15991537</v>
      </c>
      <c r="G79" s="12">
        <v>5379744.4400000004</v>
      </c>
      <c r="H79" s="12">
        <f t="shared" si="25"/>
        <v>10611792.559999999</v>
      </c>
      <c r="I79" s="13"/>
      <c r="J79" s="12"/>
      <c r="K79" s="12"/>
      <c r="L79" s="12">
        <f t="shared" si="26"/>
        <v>0</v>
      </c>
      <c r="M79" s="12"/>
      <c r="N79" s="12">
        <v>142720</v>
      </c>
      <c r="O79" s="12"/>
      <c r="P79" s="12">
        <f t="shared" si="27"/>
        <v>142720</v>
      </c>
      <c r="Q79" s="13"/>
      <c r="R79" s="12">
        <f t="shared" si="28"/>
        <v>16134257</v>
      </c>
      <c r="S79" s="12">
        <f t="shared" si="28"/>
        <v>5379744.4400000004</v>
      </c>
      <c r="T79" s="14">
        <f t="shared" si="29"/>
        <v>10754512.559999999</v>
      </c>
      <c r="U79" s="17">
        <f t="shared" si="30"/>
        <v>0.33343614397613724</v>
      </c>
    </row>
    <row r="80" spans="2:21" ht="24.95" customHeight="1">
      <c r="B80" s="18"/>
      <c r="C80" s="10"/>
      <c r="D80" s="10"/>
      <c r="E80" s="22" t="s">
        <v>76</v>
      </c>
      <c r="F80" s="12">
        <v>25281814</v>
      </c>
      <c r="G80" s="12">
        <v>23308867.100000001</v>
      </c>
      <c r="H80" s="12">
        <f t="shared" si="25"/>
        <v>1972946.8999999985</v>
      </c>
      <c r="I80" s="13"/>
      <c r="J80" s="12"/>
      <c r="K80" s="12"/>
      <c r="L80" s="12">
        <f t="shared" si="26"/>
        <v>0</v>
      </c>
      <c r="M80" s="12"/>
      <c r="N80" s="12">
        <v>15545039</v>
      </c>
      <c r="O80" s="12">
        <v>15545038.76</v>
      </c>
      <c r="P80" s="12">
        <f t="shared" si="27"/>
        <v>0.24000000022351742</v>
      </c>
      <c r="Q80" s="13"/>
      <c r="R80" s="12">
        <f t="shared" si="28"/>
        <v>40826853</v>
      </c>
      <c r="S80" s="12">
        <f t="shared" si="28"/>
        <v>38853905.859999999</v>
      </c>
      <c r="T80" s="14">
        <f t="shared" si="29"/>
        <v>1972947.1400000006</v>
      </c>
      <c r="U80" s="17">
        <f t="shared" si="30"/>
        <v>0.95167525794848795</v>
      </c>
    </row>
    <row r="81" spans="2:21" ht="27.75" customHeight="1">
      <c r="B81" s="18"/>
      <c r="C81" s="10"/>
      <c r="D81" s="10"/>
      <c r="E81" s="31" t="s">
        <v>51</v>
      </c>
      <c r="F81" s="32">
        <f>SUM(F55:F80)</f>
        <v>585448398</v>
      </c>
      <c r="G81" s="32">
        <f t="shared" ref="G81:S81" si="31">SUM(G55:G80)</f>
        <v>453197849.75</v>
      </c>
      <c r="H81" s="32">
        <f t="shared" si="31"/>
        <v>132250548.25</v>
      </c>
      <c r="I81" s="32">
        <f t="shared" si="31"/>
        <v>0</v>
      </c>
      <c r="J81" s="32">
        <f>SUM(J55:J80)</f>
        <v>129724136.93000001</v>
      </c>
      <c r="K81" s="32">
        <f t="shared" ref="K81" si="32">SUM(K55:K80)</f>
        <v>92752592.379999995</v>
      </c>
      <c r="L81" s="32">
        <f>SUM(L55:L80)</f>
        <v>36971544.550000012</v>
      </c>
      <c r="M81" s="32">
        <f t="shared" si="31"/>
        <v>0</v>
      </c>
      <c r="N81" s="32">
        <f>SUM(N55:N80)</f>
        <v>23728388</v>
      </c>
      <c r="O81" s="32">
        <f t="shared" ref="O81" si="33">SUM(O55:O80)</f>
        <v>21179925.369999997</v>
      </c>
      <c r="P81" s="32">
        <f>SUM(P55:P80)</f>
        <v>2548462.63</v>
      </c>
      <c r="Q81" s="32">
        <f t="shared" si="31"/>
        <v>0</v>
      </c>
      <c r="R81" s="32">
        <f t="shared" si="31"/>
        <v>738900922.92999995</v>
      </c>
      <c r="S81" s="32">
        <f t="shared" si="31"/>
        <v>567130367.5</v>
      </c>
      <c r="T81" s="34">
        <f>SUM(T55:T80)</f>
        <v>171770555.43000001</v>
      </c>
      <c r="U81" s="17">
        <f t="shared" si="30"/>
        <v>0.76753235772277861</v>
      </c>
    </row>
    <row r="82" spans="2:21" ht="24.95" customHeight="1">
      <c r="B82" s="18"/>
      <c r="C82" s="10"/>
      <c r="D82" s="10"/>
      <c r="E82" s="22"/>
      <c r="F82" s="12"/>
      <c r="G82" s="12"/>
      <c r="H82" s="12"/>
      <c r="I82" s="13"/>
      <c r="J82" s="12"/>
      <c r="K82" s="12"/>
      <c r="L82" s="12"/>
      <c r="M82" s="12"/>
      <c r="N82" s="12"/>
      <c r="O82" s="12"/>
      <c r="P82" s="12"/>
      <c r="Q82" s="13"/>
      <c r="R82" s="12"/>
      <c r="S82" s="12"/>
      <c r="T82" s="14"/>
      <c r="U82" s="17"/>
    </row>
    <row r="83" spans="2:21" ht="24.95" customHeight="1">
      <c r="B83" s="18"/>
      <c r="C83" s="24" t="s">
        <v>77</v>
      </c>
      <c r="D83" s="10"/>
      <c r="E83" s="22"/>
      <c r="F83" s="12">
        <f>SUM(F85:F103)</f>
        <v>355352437.42000002</v>
      </c>
      <c r="G83" s="12">
        <f t="shared" ref="G83:T83" si="34">SUM(G85:G103)</f>
        <v>311921392.12</v>
      </c>
      <c r="H83" s="12">
        <f t="shared" si="34"/>
        <v>43431045.29999999</v>
      </c>
      <c r="I83" s="12">
        <f t="shared" si="34"/>
        <v>0</v>
      </c>
      <c r="J83" s="12">
        <f>SUM(J85:J103)</f>
        <v>149173763.56</v>
      </c>
      <c r="K83" s="12">
        <f t="shared" ref="K83" si="35">SUM(K85:K103)</f>
        <v>77812898.920000002</v>
      </c>
      <c r="L83" s="12">
        <f>SUM(L85:L103)</f>
        <v>71360864.640000001</v>
      </c>
      <c r="M83" s="12">
        <f t="shared" si="34"/>
        <v>0</v>
      </c>
      <c r="N83" s="12">
        <f>SUM(N85:N103)</f>
        <v>2200184.5700000003</v>
      </c>
      <c r="O83" s="12">
        <f t="shared" ref="O83" si="36">SUM(O85:O103)</f>
        <v>7792074.9899999993</v>
      </c>
      <c r="P83" s="12">
        <f>SUM(P85:P103)</f>
        <v>-5591890.4199999999</v>
      </c>
      <c r="Q83" s="12">
        <f t="shared" si="34"/>
        <v>0</v>
      </c>
      <c r="R83" s="12">
        <f t="shared" si="34"/>
        <v>506726385.55000001</v>
      </c>
      <c r="S83" s="12">
        <f t="shared" si="34"/>
        <v>397526366.02999997</v>
      </c>
      <c r="T83" s="14">
        <f t="shared" si="34"/>
        <v>109200019.52000001</v>
      </c>
      <c r="U83" s="17">
        <f>+S83/R83</f>
        <v>0.78449904596644493</v>
      </c>
    </row>
    <row r="84" spans="2:21" ht="24.95" customHeight="1">
      <c r="B84" s="18"/>
      <c r="C84" s="20" t="s">
        <v>78</v>
      </c>
      <c r="D84" s="20"/>
      <c r="E84" s="10"/>
      <c r="F84" s="12"/>
      <c r="G84" s="12"/>
      <c r="H84" s="12">
        <f t="shared" ref="H84:H89" si="37">+F84-G84</f>
        <v>0</v>
      </c>
      <c r="I84" s="13"/>
      <c r="J84" s="12"/>
      <c r="K84" s="12"/>
      <c r="L84" s="12">
        <f t="shared" ref="L84:L89" si="38">+J84-K84</f>
        <v>0</v>
      </c>
      <c r="M84" s="12"/>
      <c r="N84" s="12"/>
      <c r="O84" s="12"/>
      <c r="P84" s="12">
        <f t="shared" ref="P84:P89" si="39">+N84-O84</f>
        <v>0</v>
      </c>
      <c r="Q84" s="13"/>
      <c r="R84" s="12"/>
      <c r="S84" s="12"/>
      <c r="T84" s="14"/>
      <c r="U84" s="17"/>
    </row>
    <row r="85" spans="2:21" ht="24.95" customHeight="1">
      <c r="B85" s="18"/>
      <c r="C85" s="20"/>
      <c r="D85" s="20"/>
      <c r="E85" s="10" t="s">
        <v>79</v>
      </c>
      <c r="F85" s="42">
        <v>61603000</v>
      </c>
      <c r="G85" s="12">
        <v>74162433.019999996</v>
      </c>
      <c r="H85" s="12">
        <f t="shared" si="37"/>
        <v>-12559433.019999996</v>
      </c>
      <c r="I85" s="13"/>
      <c r="J85" s="42"/>
      <c r="K85" s="12"/>
      <c r="L85" s="12">
        <f t="shared" si="38"/>
        <v>0</v>
      </c>
      <c r="M85" s="12"/>
      <c r="N85" s="42"/>
      <c r="O85" s="12">
        <v>5667563.4299999997</v>
      </c>
      <c r="P85" s="12">
        <f t="shared" si="39"/>
        <v>-5667563.4299999997</v>
      </c>
      <c r="Q85" s="13"/>
      <c r="R85" s="12">
        <f t="shared" ref="R85:S89" si="40">+F85+J85+N85</f>
        <v>61603000</v>
      </c>
      <c r="S85" s="12">
        <f t="shared" si="40"/>
        <v>79829996.449999988</v>
      </c>
      <c r="T85" s="14">
        <f>+R85-S85</f>
        <v>-18226996.449999988</v>
      </c>
      <c r="U85" s="17">
        <f t="shared" si="30"/>
        <v>1.2958783898511435</v>
      </c>
    </row>
    <row r="86" spans="2:21" ht="27" customHeight="1">
      <c r="B86" s="18"/>
      <c r="C86" s="10"/>
      <c r="D86" s="10"/>
      <c r="E86" s="22" t="s">
        <v>80</v>
      </c>
      <c r="F86" s="12">
        <v>46198000</v>
      </c>
      <c r="G86" s="12">
        <v>39585496.340000004</v>
      </c>
      <c r="H86" s="12">
        <f t="shared" si="37"/>
        <v>6612503.6599999964</v>
      </c>
      <c r="I86" s="13"/>
      <c r="J86" s="12"/>
      <c r="K86" s="12"/>
      <c r="L86" s="12">
        <f t="shared" si="38"/>
        <v>0</v>
      </c>
      <c r="M86" s="12"/>
      <c r="N86" s="12"/>
      <c r="O86" s="12"/>
      <c r="P86" s="12">
        <f t="shared" si="39"/>
        <v>0</v>
      </c>
      <c r="Q86" s="13"/>
      <c r="R86" s="12">
        <f t="shared" si="40"/>
        <v>46198000</v>
      </c>
      <c r="S86" s="12">
        <f t="shared" si="40"/>
        <v>39585496.340000004</v>
      </c>
      <c r="T86" s="14">
        <f>+R86-S86</f>
        <v>6612503.6599999964</v>
      </c>
      <c r="U86" s="17">
        <f t="shared" si="30"/>
        <v>0.85686601887527603</v>
      </c>
    </row>
    <row r="87" spans="2:21" ht="27" customHeight="1">
      <c r="B87" s="18"/>
      <c r="C87" s="10"/>
      <c r="D87" s="10"/>
      <c r="E87" s="22" t="s">
        <v>81</v>
      </c>
      <c r="F87" s="12">
        <v>53750000</v>
      </c>
      <c r="G87" s="12">
        <v>22890070.129999999</v>
      </c>
      <c r="H87" s="12">
        <f t="shared" si="37"/>
        <v>30859929.870000001</v>
      </c>
      <c r="I87" s="13"/>
      <c r="J87" s="12"/>
      <c r="K87" s="12"/>
      <c r="L87" s="12">
        <f t="shared" si="38"/>
        <v>0</v>
      </c>
      <c r="M87" s="12"/>
      <c r="N87" s="12">
        <v>1277004.55</v>
      </c>
      <c r="O87" s="12">
        <v>1201332.92</v>
      </c>
      <c r="P87" s="12">
        <f t="shared" si="39"/>
        <v>75671.630000000121</v>
      </c>
      <c r="Q87" s="13"/>
      <c r="R87" s="12">
        <f t="shared" si="40"/>
        <v>55027004.549999997</v>
      </c>
      <c r="S87" s="12">
        <f t="shared" si="40"/>
        <v>24091403.049999997</v>
      </c>
      <c r="T87" s="14">
        <f>+R87-S87</f>
        <v>30935601.5</v>
      </c>
      <c r="U87" s="17">
        <f t="shared" si="30"/>
        <v>0.43781054860272234</v>
      </c>
    </row>
    <row r="88" spans="2:21" ht="27" customHeight="1">
      <c r="B88" s="18"/>
      <c r="C88" s="10"/>
      <c r="D88" s="10"/>
      <c r="E88" s="22" t="s">
        <v>82</v>
      </c>
      <c r="F88" s="12">
        <v>6776199</v>
      </c>
      <c r="G88" s="12">
        <v>4991932.6700000009</v>
      </c>
      <c r="H88" s="12">
        <f t="shared" si="37"/>
        <v>1784266.3299999991</v>
      </c>
      <c r="I88" s="13"/>
      <c r="J88" s="12">
        <v>775000</v>
      </c>
      <c r="K88" s="12">
        <v>775000</v>
      </c>
      <c r="L88" s="12">
        <f t="shared" si="38"/>
        <v>0</v>
      </c>
      <c r="M88" s="12"/>
      <c r="N88" s="12"/>
      <c r="O88" s="12"/>
      <c r="P88" s="12">
        <f t="shared" si="39"/>
        <v>0</v>
      </c>
      <c r="Q88" s="13"/>
      <c r="R88" s="12">
        <f t="shared" si="40"/>
        <v>7551199</v>
      </c>
      <c r="S88" s="12">
        <f t="shared" si="40"/>
        <v>5766932.6700000009</v>
      </c>
      <c r="T88" s="14">
        <f>+R88-S88</f>
        <v>1784266.3299999991</v>
      </c>
      <c r="U88" s="17">
        <f t="shared" si="30"/>
        <v>0.7637108583683202</v>
      </c>
    </row>
    <row r="89" spans="2:21" ht="27" customHeight="1">
      <c r="B89" s="18"/>
      <c r="C89" s="10"/>
      <c r="D89" s="10"/>
      <c r="E89" s="22" t="s">
        <v>83</v>
      </c>
      <c r="F89" s="12">
        <v>2386417</v>
      </c>
      <c r="G89" s="12">
        <v>2103482.86</v>
      </c>
      <c r="H89" s="12">
        <f t="shared" si="37"/>
        <v>282934.14000000013</v>
      </c>
      <c r="I89" s="13"/>
      <c r="J89" s="12"/>
      <c r="K89" s="12"/>
      <c r="L89" s="12">
        <f t="shared" si="38"/>
        <v>0</v>
      </c>
      <c r="M89" s="12"/>
      <c r="N89" s="12"/>
      <c r="O89" s="12"/>
      <c r="P89" s="12">
        <f t="shared" si="39"/>
        <v>0</v>
      </c>
      <c r="Q89" s="13"/>
      <c r="R89" s="12">
        <f t="shared" si="40"/>
        <v>2386417</v>
      </c>
      <c r="S89" s="12">
        <f t="shared" si="40"/>
        <v>2103482.86</v>
      </c>
      <c r="T89" s="14">
        <f>+R89-S89</f>
        <v>282934.14000000013</v>
      </c>
      <c r="U89" s="17">
        <f t="shared" si="30"/>
        <v>0.88143977351820735</v>
      </c>
    </row>
    <row r="90" spans="2:21" ht="24.95" customHeight="1">
      <c r="B90" s="18"/>
      <c r="C90" s="10"/>
      <c r="D90" s="10"/>
      <c r="E90" s="22"/>
      <c r="F90" s="12"/>
      <c r="G90" s="12"/>
      <c r="H90" s="12"/>
      <c r="I90" s="13"/>
      <c r="J90" s="12"/>
      <c r="K90" s="12"/>
      <c r="L90" s="12"/>
      <c r="M90" s="12"/>
      <c r="N90" s="12"/>
      <c r="O90" s="12"/>
      <c r="P90" s="12"/>
      <c r="Q90" s="13"/>
      <c r="R90" s="12"/>
      <c r="S90" s="12"/>
      <c r="T90" s="14"/>
      <c r="U90" s="17"/>
    </row>
    <row r="91" spans="2:21" ht="24.95" customHeight="1">
      <c r="B91" s="18"/>
      <c r="C91" s="20" t="s">
        <v>84</v>
      </c>
      <c r="D91" s="20"/>
      <c r="E91" s="10"/>
      <c r="F91" s="12"/>
      <c r="G91" s="12"/>
      <c r="H91" s="12"/>
      <c r="I91" s="13"/>
      <c r="J91" s="12"/>
      <c r="K91" s="12"/>
      <c r="L91" s="12"/>
      <c r="M91" s="12"/>
      <c r="N91" s="12"/>
      <c r="O91" s="12"/>
      <c r="P91" s="12"/>
      <c r="Q91" s="13"/>
      <c r="R91" s="12"/>
      <c r="S91" s="12"/>
      <c r="T91" s="14"/>
      <c r="U91" s="17"/>
    </row>
    <row r="92" spans="2:21" ht="24.95" customHeight="1">
      <c r="B92" s="18"/>
      <c r="C92" s="20"/>
      <c r="D92" s="20"/>
      <c r="E92" s="10" t="s">
        <v>85</v>
      </c>
      <c r="F92" s="12">
        <v>37432860</v>
      </c>
      <c r="G92" s="12">
        <v>37228380.380000003</v>
      </c>
      <c r="H92" s="12">
        <f t="shared" ref="H92:H98" si="41">+F92-G92</f>
        <v>204479.61999999732</v>
      </c>
      <c r="I92" s="13"/>
      <c r="J92" s="12">
        <v>20000000</v>
      </c>
      <c r="K92" s="12">
        <v>20000000</v>
      </c>
      <c r="L92" s="12">
        <f t="shared" ref="L92:L98" si="42">+J92-K92</f>
        <v>0</v>
      </c>
      <c r="M92" s="12"/>
      <c r="N92" s="12">
        <v>551579.02</v>
      </c>
      <c r="O92" s="12">
        <v>551578.09</v>
      </c>
      <c r="P92" s="12">
        <f t="shared" ref="P92:P98" si="43">+N92-O92</f>
        <v>0.93000000005122274</v>
      </c>
      <c r="Q92" s="13"/>
      <c r="R92" s="12">
        <f t="shared" ref="R92:S97" si="44">+F92+J92+N92</f>
        <v>57984439.020000003</v>
      </c>
      <c r="S92" s="12">
        <f t="shared" si="44"/>
        <v>57779958.470000006</v>
      </c>
      <c r="T92" s="14">
        <f t="shared" ref="T92:T98" si="45">+R92-S92</f>
        <v>204480.54999999702</v>
      </c>
      <c r="U92" s="17">
        <f t="shared" si="30"/>
        <v>0.99647352714873261</v>
      </c>
    </row>
    <row r="93" spans="2:21" ht="28.5" customHeight="1">
      <c r="B93" s="18"/>
      <c r="C93" s="10"/>
      <c r="D93" s="10"/>
      <c r="E93" s="22" t="s">
        <v>86</v>
      </c>
      <c r="F93" s="12">
        <v>62114000</v>
      </c>
      <c r="G93" s="12">
        <v>54037462.219999999</v>
      </c>
      <c r="H93" s="12">
        <f t="shared" si="41"/>
        <v>8076537.7800000012</v>
      </c>
      <c r="I93" s="13"/>
      <c r="J93" s="12">
        <v>48048763.560000002</v>
      </c>
      <c r="K93" s="12"/>
      <c r="L93" s="12">
        <f t="shared" si="42"/>
        <v>48048763.560000002</v>
      </c>
      <c r="M93" s="12"/>
      <c r="N93" s="12">
        <v>371601</v>
      </c>
      <c r="O93" s="12">
        <v>371600.55</v>
      </c>
      <c r="P93" s="12">
        <f t="shared" si="43"/>
        <v>0.45000000001164153</v>
      </c>
      <c r="Q93" s="13"/>
      <c r="R93" s="12">
        <f t="shared" si="44"/>
        <v>110534364.56</v>
      </c>
      <c r="S93" s="12">
        <f t="shared" si="44"/>
        <v>54409062.769999996</v>
      </c>
      <c r="T93" s="14">
        <f t="shared" si="45"/>
        <v>56125301.790000007</v>
      </c>
      <c r="U93" s="17">
        <f t="shared" si="30"/>
        <v>0.49223662692217129</v>
      </c>
    </row>
    <row r="94" spans="2:21" ht="28.5" customHeight="1">
      <c r="B94" s="18"/>
      <c r="C94" s="10"/>
      <c r="D94" s="10"/>
      <c r="E94" s="22" t="s">
        <v>87</v>
      </c>
      <c r="F94" s="12">
        <v>21931000</v>
      </c>
      <c r="G94" s="12">
        <v>21931233.260000002</v>
      </c>
      <c r="H94" s="12">
        <f t="shared" si="41"/>
        <v>-233.26000000163913</v>
      </c>
      <c r="I94" s="13"/>
      <c r="J94" s="12"/>
      <c r="K94" s="12"/>
      <c r="L94" s="12">
        <f t="shared" si="42"/>
        <v>0</v>
      </c>
      <c r="M94" s="12"/>
      <c r="N94" s="12"/>
      <c r="O94" s="12"/>
      <c r="P94" s="12">
        <f t="shared" si="43"/>
        <v>0</v>
      </c>
      <c r="Q94" s="13"/>
      <c r="R94" s="12">
        <f t="shared" si="44"/>
        <v>21931000</v>
      </c>
      <c r="S94" s="12">
        <f t="shared" si="44"/>
        <v>21931233.260000002</v>
      </c>
      <c r="T94" s="14">
        <f t="shared" si="45"/>
        <v>-233.26000000163913</v>
      </c>
      <c r="U94" s="17">
        <f t="shared" si="30"/>
        <v>1.0000106360859058</v>
      </c>
    </row>
    <row r="95" spans="2:21" ht="28.5" customHeight="1">
      <c r="B95" s="18"/>
      <c r="C95" s="10"/>
      <c r="D95" s="10"/>
      <c r="E95" s="22" t="s">
        <v>88</v>
      </c>
      <c r="F95" s="12">
        <v>3197000</v>
      </c>
      <c r="G95" s="12">
        <v>2395171.5699999998</v>
      </c>
      <c r="H95" s="12">
        <f t="shared" si="41"/>
        <v>801828.43000000017</v>
      </c>
      <c r="I95" s="13"/>
      <c r="J95" s="12"/>
      <c r="K95" s="12"/>
      <c r="L95" s="12">
        <f t="shared" si="42"/>
        <v>0</v>
      </c>
      <c r="M95" s="12"/>
      <c r="N95" s="12"/>
      <c r="O95" s="12"/>
      <c r="P95" s="12">
        <f t="shared" si="43"/>
        <v>0</v>
      </c>
      <c r="Q95" s="13"/>
      <c r="R95" s="12">
        <f t="shared" si="44"/>
        <v>3197000</v>
      </c>
      <c r="S95" s="12">
        <f t="shared" si="44"/>
        <v>2395171.5699999998</v>
      </c>
      <c r="T95" s="14">
        <f t="shared" si="45"/>
        <v>801828.43000000017</v>
      </c>
      <c r="U95" s="17">
        <f t="shared" si="30"/>
        <v>0.7491934845167344</v>
      </c>
    </row>
    <row r="96" spans="2:21" ht="24.95" customHeight="1">
      <c r="B96" s="18"/>
      <c r="C96" s="10"/>
      <c r="D96" s="10"/>
      <c r="E96" s="22" t="s">
        <v>89</v>
      </c>
      <c r="F96" s="12">
        <v>6406692.4199999999</v>
      </c>
      <c r="G96" s="12">
        <v>6392679.3399999999</v>
      </c>
      <c r="H96" s="12">
        <f t="shared" si="41"/>
        <v>14013.080000000075</v>
      </c>
      <c r="I96" s="13"/>
      <c r="J96" s="12"/>
      <c r="K96" s="12"/>
      <c r="L96" s="12">
        <f t="shared" si="42"/>
        <v>0</v>
      </c>
      <c r="M96" s="12"/>
      <c r="N96" s="12"/>
      <c r="O96" s="12"/>
      <c r="P96" s="12">
        <f t="shared" si="43"/>
        <v>0</v>
      </c>
      <c r="Q96" s="13"/>
      <c r="R96" s="12">
        <f t="shared" si="44"/>
        <v>6406692.4199999999</v>
      </c>
      <c r="S96" s="12">
        <f t="shared" si="44"/>
        <v>6392679.3399999999</v>
      </c>
      <c r="T96" s="14">
        <f t="shared" si="45"/>
        <v>14013.080000000075</v>
      </c>
      <c r="U96" s="17">
        <f t="shared" si="30"/>
        <v>0.99781274344367543</v>
      </c>
    </row>
    <row r="97" spans="2:25" ht="24.95" customHeight="1">
      <c r="B97" s="18"/>
      <c r="C97" s="10"/>
      <c r="D97" s="10"/>
      <c r="E97" s="28" t="s">
        <v>90</v>
      </c>
      <c r="F97" s="12">
        <v>2142000</v>
      </c>
      <c r="G97" s="12">
        <v>2015185.73</v>
      </c>
      <c r="H97" s="12">
        <f t="shared" si="41"/>
        <v>126814.27000000002</v>
      </c>
      <c r="I97" s="13"/>
      <c r="J97" s="12"/>
      <c r="K97" s="12"/>
      <c r="L97" s="12">
        <f t="shared" si="42"/>
        <v>0</v>
      </c>
      <c r="M97" s="12"/>
      <c r="N97" s="12"/>
      <c r="O97" s="12"/>
      <c r="P97" s="12">
        <f t="shared" si="43"/>
        <v>0</v>
      </c>
      <c r="Q97" s="13"/>
      <c r="R97" s="12">
        <f t="shared" si="44"/>
        <v>2142000</v>
      </c>
      <c r="S97" s="12">
        <f t="shared" si="44"/>
        <v>2015185.73</v>
      </c>
      <c r="T97" s="14">
        <f t="shared" si="45"/>
        <v>126814.27000000002</v>
      </c>
      <c r="U97" s="17">
        <f t="shared" si="30"/>
        <v>0.94079632586367878</v>
      </c>
    </row>
    <row r="98" spans="2:25" ht="28.5" customHeight="1">
      <c r="B98" s="18"/>
      <c r="C98" s="10"/>
      <c r="D98" s="10"/>
      <c r="E98" s="43" t="s">
        <v>91</v>
      </c>
      <c r="F98" s="12">
        <v>2626000</v>
      </c>
      <c r="G98" s="12">
        <v>3390568.81</v>
      </c>
      <c r="H98" s="12">
        <f t="shared" si="41"/>
        <v>-764568.81</v>
      </c>
      <c r="I98" s="13"/>
      <c r="J98" s="12"/>
      <c r="K98" s="12"/>
      <c r="L98" s="12">
        <f t="shared" si="42"/>
        <v>0</v>
      </c>
      <c r="M98" s="12"/>
      <c r="N98" s="12"/>
      <c r="O98" s="12"/>
      <c r="P98" s="12">
        <f t="shared" si="43"/>
        <v>0</v>
      </c>
      <c r="Q98" s="13"/>
      <c r="R98" s="12">
        <f>+F98+J98+N98</f>
        <v>2626000</v>
      </c>
      <c r="S98" s="12">
        <f>+G98+K98+O98</f>
        <v>3390568.81</v>
      </c>
      <c r="T98" s="14">
        <f t="shared" si="45"/>
        <v>-764568.81</v>
      </c>
      <c r="U98" s="17">
        <f t="shared" si="30"/>
        <v>1.2911533929931456</v>
      </c>
    </row>
    <row r="99" spans="2:25" ht="24.95" customHeight="1">
      <c r="B99" s="18"/>
      <c r="C99" s="10"/>
      <c r="D99" s="10"/>
      <c r="E99" s="43"/>
      <c r="F99" s="12"/>
      <c r="G99" s="12"/>
      <c r="H99" s="12"/>
      <c r="I99" s="13"/>
      <c r="J99" s="12"/>
      <c r="K99" s="12"/>
      <c r="L99" s="12"/>
      <c r="M99" s="12"/>
      <c r="N99" s="12"/>
      <c r="O99" s="12"/>
      <c r="P99" s="12"/>
      <c r="Q99" s="13"/>
      <c r="R99" s="12"/>
      <c r="S99" s="12"/>
      <c r="T99" s="14"/>
      <c r="U99" s="17"/>
    </row>
    <row r="100" spans="2:25" ht="24.95" customHeight="1">
      <c r="B100" s="18"/>
      <c r="C100" s="20" t="s">
        <v>92</v>
      </c>
      <c r="D100" s="20"/>
      <c r="E100" s="10"/>
      <c r="F100" s="12"/>
      <c r="G100" s="12"/>
      <c r="H100" s="12"/>
      <c r="I100" s="13"/>
      <c r="J100" s="12"/>
      <c r="K100" s="12"/>
      <c r="L100" s="12"/>
      <c r="M100" s="12"/>
      <c r="N100" s="12"/>
      <c r="O100" s="12"/>
      <c r="P100" s="12"/>
      <c r="Q100" s="13"/>
      <c r="R100" s="12"/>
      <c r="S100" s="12"/>
      <c r="T100" s="14"/>
      <c r="U100" s="17"/>
    </row>
    <row r="101" spans="2:25" ht="24.95" customHeight="1">
      <c r="B101" s="18"/>
      <c r="C101" s="20"/>
      <c r="D101" s="20"/>
      <c r="E101" s="10" t="s">
        <v>93</v>
      </c>
      <c r="F101" s="12">
        <v>15942000</v>
      </c>
      <c r="G101" s="12">
        <v>15942000</v>
      </c>
      <c r="H101" s="12">
        <f>+F101-G101</f>
        <v>0</v>
      </c>
      <c r="I101" s="13"/>
      <c r="J101" s="12">
        <v>80000000</v>
      </c>
      <c r="K101" s="12">
        <v>51135945.829999998</v>
      </c>
      <c r="L101" s="12">
        <f>+J101-K101</f>
        <v>28864054.170000002</v>
      </c>
      <c r="M101" s="12"/>
      <c r="N101" s="12"/>
      <c r="O101" s="12"/>
      <c r="P101" s="12">
        <f>+N101-O101</f>
        <v>0</v>
      </c>
      <c r="Q101" s="13"/>
      <c r="R101" s="12">
        <f t="shared" ref="R101:S103" si="46">+F101+J101+N101</f>
        <v>95942000</v>
      </c>
      <c r="S101" s="12">
        <f t="shared" si="46"/>
        <v>67077945.829999998</v>
      </c>
      <c r="T101" s="14">
        <f>+R101-S101</f>
        <v>28864054.170000002</v>
      </c>
      <c r="U101" s="17">
        <f t="shared" si="30"/>
        <v>0.69915100612870273</v>
      </c>
    </row>
    <row r="102" spans="2:25" ht="29.25" customHeight="1">
      <c r="B102" s="18"/>
      <c r="C102" s="10"/>
      <c r="D102" s="10"/>
      <c r="E102" s="22" t="s">
        <v>94</v>
      </c>
      <c r="F102" s="12">
        <v>30764269</v>
      </c>
      <c r="G102" s="12">
        <v>23126163.690000001</v>
      </c>
      <c r="H102" s="12">
        <f>+F102-G102</f>
        <v>7638105.3099999987</v>
      </c>
      <c r="I102" s="13"/>
      <c r="J102" s="12"/>
      <c r="K102" s="12">
        <v>5901953.0899999999</v>
      </c>
      <c r="L102" s="12">
        <f>+J102-K102</f>
        <v>-5901953.0899999999</v>
      </c>
      <c r="M102" s="12"/>
      <c r="N102" s="12"/>
      <c r="O102" s="12"/>
      <c r="P102" s="12">
        <f>+N102-O102</f>
        <v>0</v>
      </c>
      <c r="Q102" s="13"/>
      <c r="R102" s="12">
        <f t="shared" si="46"/>
        <v>30764269</v>
      </c>
      <c r="S102" s="12">
        <f t="shared" si="46"/>
        <v>29028116.780000001</v>
      </c>
      <c r="T102" s="14">
        <f>+R102-S102</f>
        <v>1736152.2199999988</v>
      </c>
      <c r="U102" s="17">
        <f t="shared" si="30"/>
        <v>0.94356595243657504</v>
      </c>
    </row>
    <row r="103" spans="2:25" ht="29.25" customHeight="1">
      <c r="B103" s="18"/>
      <c r="C103" s="10"/>
      <c r="D103" s="10"/>
      <c r="E103" s="22" t="s">
        <v>95</v>
      </c>
      <c r="F103" s="12">
        <v>2083000</v>
      </c>
      <c r="G103" s="12">
        <v>1729132.1</v>
      </c>
      <c r="H103" s="12">
        <f>+F103-G103</f>
        <v>353867.89999999991</v>
      </c>
      <c r="I103" s="13"/>
      <c r="J103" s="12">
        <v>350000</v>
      </c>
      <c r="K103" s="12"/>
      <c r="L103" s="12">
        <f>+J103-K103</f>
        <v>350000</v>
      </c>
      <c r="M103" s="12"/>
      <c r="N103" s="12"/>
      <c r="O103" s="12"/>
      <c r="P103" s="12">
        <f>+N103-O103</f>
        <v>0</v>
      </c>
      <c r="Q103" s="13"/>
      <c r="R103" s="12">
        <f t="shared" si="46"/>
        <v>2433000</v>
      </c>
      <c r="S103" s="12">
        <f t="shared" si="46"/>
        <v>1729132.1</v>
      </c>
      <c r="T103" s="14">
        <f>+R103-S103</f>
        <v>703867.89999999991</v>
      </c>
      <c r="U103" s="17">
        <f t="shared" si="30"/>
        <v>0.71069958898479246</v>
      </c>
    </row>
    <row r="104" spans="2:25" ht="27.75" customHeight="1">
      <c r="B104" s="18"/>
      <c r="C104" s="10"/>
      <c r="D104" s="10"/>
      <c r="E104" s="31" t="s">
        <v>51</v>
      </c>
      <c r="F104" s="32">
        <f>SUM(F85:F103)</f>
        <v>355352437.42000002</v>
      </c>
      <c r="G104" s="32">
        <f t="shared" ref="G104:S104" si="47">SUM(G85:G103)</f>
        <v>311921392.12</v>
      </c>
      <c r="H104" s="32">
        <f t="shared" si="47"/>
        <v>43431045.29999999</v>
      </c>
      <c r="I104" s="32">
        <f t="shared" si="47"/>
        <v>0</v>
      </c>
      <c r="J104" s="32">
        <f>SUM(J85:J103)</f>
        <v>149173763.56</v>
      </c>
      <c r="K104" s="32">
        <f t="shared" ref="K104" si="48">SUM(K85:K103)</f>
        <v>77812898.920000002</v>
      </c>
      <c r="L104" s="32">
        <f>SUM(L85:L103)</f>
        <v>71360864.640000001</v>
      </c>
      <c r="M104" s="32">
        <f t="shared" si="47"/>
        <v>0</v>
      </c>
      <c r="N104" s="32">
        <f>SUM(N85:N103)</f>
        <v>2200184.5700000003</v>
      </c>
      <c r="O104" s="32">
        <f t="shared" ref="O104" si="49">SUM(O85:O103)</f>
        <v>7792074.9899999993</v>
      </c>
      <c r="P104" s="32">
        <f>SUM(P85:P103)</f>
        <v>-5591890.4199999999</v>
      </c>
      <c r="Q104" s="32">
        <f t="shared" si="47"/>
        <v>0</v>
      </c>
      <c r="R104" s="32">
        <f t="shared" si="47"/>
        <v>506726385.55000001</v>
      </c>
      <c r="S104" s="32">
        <f t="shared" si="47"/>
        <v>397526366.02999997</v>
      </c>
      <c r="T104" s="34">
        <f>SUM(T85:T103)</f>
        <v>109200019.52000001</v>
      </c>
      <c r="U104" s="17">
        <f t="shared" si="30"/>
        <v>0.78449904596644493</v>
      </c>
    </row>
    <row r="105" spans="2:25" ht="24.95" customHeight="1">
      <c r="B105" s="18"/>
      <c r="C105" s="10"/>
      <c r="D105" s="10"/>
      <c r="E105" s="22"/>
      <c r="F105" s="12"/>
      <c r="G105" s="12"/>
      <c r="H105" s="12"/>
      <c r="I105" s="13"/>
      <c r="J105" s="12"/>
      <c r="K105" s="12"/>
      <c r="L105" s="12"/>
      <c r="M105" s="12"/>
      <c r="N105" s="12"/>
      <c r="O105" s="12"/>
      <c r="P105" s="12"/>
      <c r="Q105" s="13"/>
      <c r="R105" s="12"/>
      <c r="S105" s="12"/>
      <c r="T105" s="14"/>
      <c r="U105" s="17"/>
      <c r="Y105" s="2" t="s">
        <v>96</v>
      </c>
    </row>
    <row r="106" spans="2:25" ht="24.95" customHeight="1">
      <c r="B106" s="18"/>
      <c r="C106" s="24" t="s">
        <v>97</v>
      </c>
      <c r="D106" s="10"/>
      <c r="E106" s="22"/>
      <c r="F106" s="12">
        <f>SUM(F108:F136)</f>
        <v>700590433</v>
      </c>
      <c r="G106" s="12">
        <f>SUM(G108:G136)</f>
        <v>362024209.48000002</v>
      </c>
      <c r="H106" s="12">
        <f t="shared" ref="H106:T106" si="50">SUM(H108:H136)</f>
        <v>338566223.52000004</v>
      </c>
      <c r="I106" s="12">
        <f t="shared" si="50"/>
        <v>0</v>
      </c>
      <c r="J106" s="12">
        <f>SUM(J108:J136)</f>
        <v>55647777</v>
      </c>
      <c r="K106" s="12">
        <f>SUM(K108:K136)</f>
        <v>84615622.370000005</v>
      </c>
      <c r="L106" s="12">
        <f>SUM(L108:L136)</f>
        <v>-28967845.369999997</v>
      </c>
      <c r="M106" s="12">
        <f t="shared" si="50"/>
        <v>0</v>
      </c>
      <c r="N106" s="12">
        <f>SUM(N108:N136)</f>
        <v>3932108</v>
      </c>
      <c r="O106" s="12">
        <f>SUM(O108:O136)</f>
        <v>16954050.560000002</v>
      </c>
      <c r="P106" s="12">
        <f>SUM(P108:P136)</f>
        <v>-13021942.560000001</v>
      </c>
      <c r="Q106" s="12">
        <f t="shared" si="50"/>
        <v>0</v>
      </c>
      <c r="R106" s="12">
        <f t="shared" si="50"/>
        <v>760170318</v>
      </c>
      <c r="S106" s="12">
        <f t="shared" si="50"/>
        <v>463593882.41000003</v>
      </c>
      <c r="T106" s="14">
        <f t="shared" si="50"/>
        <v>296576435.59000003</v>
      </c>
      <c r="U106" s="17">
        <f>+S106/R106</f>
        <v>0.60985528036626135</v>
      </c>
    </row>
    <row r="107" spans="2:25" ht="24.95" customHeight="1">
      <c r="B107" s="18"/>
      <c r="C107" s="20" t="s">
        <v>98</v>
      </c>
      <c r="D107" s="20"/>
      <c r="E107" s="10"/>
      <c r="F107" s="12"/>
      <c r="G107" s="12"/>
      <c r="H107" s="12">
        <f t="shared" ref="H107:H115" si="51">+F107-G107</f>
        <v>0</v>
      </c>
      <c r="I107" s="13"/>
      <c r="J107" s="12"/>
      <c r="K107" s="12"/>
      <c r="L107" s="12">
        <f t="shared" ref="L107:L115" si="52">+J107-K107</f>
        <v>0</v>
      </c>
      <c r="M107" s="12"/>
      <c r="N107" s="12"/>
      <c r="O107" s="12"/>
      <c r="P107" s="12">
        <f t="shared" ref="P107:P115" si="53">+N107-O107</f>
        <v>0</v>
      </c>
      <c r="Q107" s="13"/>
      <c r="R107" s="12"/>
      <c r="S107" s="12"/>
      <c r="T107" s="14"/>
      <c r="U107" s="17"/>
    </row>
    <row r="108" spans="2:25" ht="24.95" customHeight="1">
      <c r="B108" s="18"/>
      <c r="C108" s="20"/>
      <c r="D108" s="20"/>
      <c r="E108" s="10" t="s">
        <v>99</v>
      </c>
      <c r="F108" s="12">
        <v>89795000</v>
      </c>
      <c r="G108" s="12">
        <v>16105608.669999998</v>
      </c>
      <c r="H108" s="12">
        <f t="shared" si="51"/>
        <v>73689391.329999998</v>
      </c>
      <c r="I108" s="13"/>
      <c r="J108" s="12">
        <v>23089879</v>
      </c>
      <c r="K108" s="12">
        <v>15982132.639999999</v>
      </c>
      <c r="L108" s="12">
        <f t="shared" si="52"/>
        <v>7107746.3600000013</v>
      </c>
      <c r="M108" s="12"/>
      <c r="N108" s="12"/>
      <c r="O108" s="12"/>
      <c r="P108" s="12">
        <f t="shared" si="53"/>
        <v>0</v>
      </c>
      <c r="Q108" s="13"/>
      <c r="R108" s="12">
        <f t="shared" ref="R108:S115" si="54">+F108+J108+N108</f>
        <v>112884879</v>
      </c>
      <c r="S108" s="12">
        <f t="shared" si="54"/>
        <v>32087741.309999995</v>
      </c>
      <c r="T108" s="14">
        <f t="shared" ref="T108:T115" si="55">+R108-S108</f>
        <v>80797137.689999998</v>
      </c>
      <c r="U108" s="17">
        <f t="shared" si="30"/>
        <v>0.28425189976064019</v>
      </c>
    </row>
    <row r="109" spans="2:25" ht="27" customHeight="1">
      <c r="B109" s="18"/>
      <c r="C109" s="10"/>
      <c r="D109" s="10"/>
      <c r="E109" s="22" t="s">
        <v>100</v>
      </c>
      <c r="F109" s="12">
        <v>32412673</v>
      </c>
      <c r="G109" s="12">
        <v>29561453.129999999</v>
      </c>
      <c r="H109" s="12">
        <f t="shared" si="51"/>
        <v>2851219.870000001</v>
      </c>
      <c r="I109" s="13"/>
      <c r="J109" s="12"/>
      <c r="K109" s="12"/>
      <c r="L109" s="12">
        <f t="shared" si="52"/>
        <v>0</v>
      </c>
      <c r="M109" s="12"/>
      <c r="N109" s="12"/>
      <c r="O109" s="12"/>
      <c r="P109" s="12">
        <f t="shared" si="53"/>
        <v>0</v>
      </c>
      <c r="Q109" s="13"/>
      <c r="R109" s="12">
        <f t="shared" si="54"/>
        <v>32412673</v>
      </c>
      <c r="S109" s="12">
        <f t="shared" si="54"/>
        <v>29561453.129999999</v>
      </c>
      <c r="T109" s="14">
        <f t="shared" si="55"/>
        <v>2851219.870000001</v>
      </c>
      <c r="U109" s="17">
        <f t="shared" si="30"/>
        <v>0.91203379400396878</v>
      </c>
    </row>
    <row r="110" spans="2:25" ht="27" customHeight="1">
      <c r="B110" s="18"/>
      <c r="C110" s="10"/>
      <c r="D110" s="10"/>
      <c r="E110" s="22" t="s">
        <v>101</v>
      </c>
      <c r="F110" s="12">
        <v>15090218</v>
      </c>
      <c r="G110" s="12">
        <v>2962035.87</v>
      </c>
      <c r="H110" s="12">
        <f t="shared" si="51"/>
        <v>12128182.129999999</v>
      </c>
      <c r="I110" s="13"/>
      <c r="J110" s="12"/>
      <c r="K110" s="12"/>
      <c r="L110" s="12">
        <f t="shared" si="52"/>
        <v>0</v>
      </c>
      <c r="M110" s="12"/>
      <c r="N110" s="12"/>
      <c r="O110" s="12"/>
      <c r="P110" s="12">
        <f t="shared" si="53"/>
        <v>0</v>
      </c>
      <c r="Q110" s="13"/>
      <c r="R110" s="12">
        <f t="shared" si="54"/>
        <v>15090218</v>
      </c>
      <c r="S110" s="12">
        <f t="shared" si="54"/>
        <v>2962035.87</v>
      </c>
      <c r="T110" s="14">
        <f t="shared" si="55"/>
        <v>12128182.129999999</v>
      </c>
      <c r="U110" s="17">
        <f t="shared" si="30"/>
        <v>0.19628847442760602</v>
      </c>
    </row>
    <row r="111" spans="2:25" ht="29.25" customHeight="1">
      <c r="B111" s="18"/>
      <c r="C111" s="10"/>
      <c r="D111" s="10"/>
      <c r="E111" s="22" t="s">
        <v>102</v>
      </c>
      <c r="F111" s="12">
        <v>3964000</v>
      </c>
      <c r="G111" s="12">
        <v>1778537.66</v>
      </c>
      <c r="H111" s="12">
        <f t="shared" si="51"/>
        <v>2185462.34</v>
      </c>
      <c r="I111" s="13"/>
      <c r="J111" s="12"/>
      <c r="K111" s="12"/>
      <c r="L111" s="12">
        <f t="shared" si="52"/>
        <v>0</v>
      </c>
      <c r="M111" s="12"/>
      <c r="N111" s="12"/>
      <c r="O111" s="12"/>
      <c r="P111" s="12">
        <f t="shared" si="53"/>
        <v>0</v>
      </c>
      <c r="Q111" s="13"/>
      <c r="R111" s="12">
        <f t="shared" si="54"/>
        <v>3964000</v>
      </c>
      <c r="S111" s="12">
        <f t="shared" si="54"/>
        <v>1778537.66</v>
      </c>
      <c r="T111" s="14">
        <f t="shared" si="55"/>
        <v>2185462.34</v>
      </c>
      <c r="U111" s="17">
        <f t="shared" si="30"/>
        <v>0.44867246720484355</v>
      </c>
    </row>
    <row r="112" spans="2:25" ht="24.95" customHeight="1">
      <c r="B112" s="18"/>
      <c r="C112" s="10"/>
      <c r="D112" s="10"/>
      <c r="E112" s="28" t="s">
        <v>103</v>
      </c>
      <c r="F112" s="12">
        <v>1173000</v>
      </c>
      <c r="G112" s="12">
        <v>1163235.4099999999</v>
      </c>
      <c r="H112" s="12">
        <f t="shared" si="51"/>
        <v>9764.5900000000838</v>
      </c>
      <c r="I112" s="13"/>
      <c r="J112" s="12"/>
      <c r="K112" s="12"/>
      <c r="L112" s="12">
        <f t="shared" si="52"/>
        <v>0</v>
      </c>
      <c r="M112" s="12"/>
      <c r="N112" s="12"/>
      <c r="O112" s="12"/>
      <c r="P112" s="12">
        <f t="shared" si="53"/>
        <v>0</v>
      </c>
      <c r="Q112" s="13"/>
      <c r="R112" s="12">
        <f t="shared" si="54"/>
        <v>1173000</v>
      </c>
      <c r="S112" s="12">
        <f t="shared" si="54"/>
        <v>1163235.4099999999</v>
      </c>
      <c r="T112" s="14">
        <f t="shared" si="55"/>
        <v>9764.5900000000838</v>
      </c>
      <c r="U112" s="17">
        <f t="shared" si="30"/>
        <v>0.99167554134697355</v>
      </c>
    </row>
    <row r="113" spans="2:22" ht="24.95" customHeight="1">
      <c r="B113" s="18"/>
      <c r="C113" s="10"/>
      <c r="D113" s="10"/>
      <c r="E113" s="22" t="s">
        <v>104</v>
      </c>
      <c r="F113" s="12">
        <v>3950000</v>
      </c>
      <c r="G113" s="12">
        <v>3576495.95</v>
      </c>
      <c r="H113" s="12">
        <f t="shared" si="51"/>
        <v>373504.04999999981</v>
      </c>
      <c r="I113" s="13"/>
      <c r="J113" s="12"/>
      <c r="K113" s="12"/>
      <c r="L113" s="12">
        <f t="shared" si="52"/>
        <v>0</v>
      </c>
      <c r="M113" s="12"/>
      <c r="N113" s="12"/>
      <c r="O113" s="12"/>
      <c r="P113" s="12">
        <f t="shared" si="53"/>
        <v>0</v>
      </c>
      <c r="Q113" s="13"/>
      <c r="R113" s="12">
        <f t="shared" si="54"/>
        <v>3950000</v>
      </c>
      <c r="S113" s="12">
        <f t="shared" si="54"/>
        <v>3576495.95</v>
      </c>
      <c r="T113" s="14">
        <f t="shared" si="55"/>
        <v>373504.04999999981</v>
      </c>
      <c r="U113" s="17">
        <f t="shared" si="30"/>
        <v>0.90544201265822788</v>
      </c>
    </row>
    <row r="114" spans="2:22" ht="29.25" customHeight="1">
      <c r="B114" s="18"/>
      <c r="C114" s="10"/>
      <c r="D114" s="10"/>
      <c r="E114" s="22" t="s">
        <v>105</v>
      </c>
      <c r="F114" s="12">
        <v>15740416</v>
      </c>
      <c r="G114" s="12">
        <v>7887951.54</v>
      </c>
      <c r="H114" s="12">
        <f t="shared" si="51"/>
        <v>7852464.46</v>
      </c>
      <c r="I114" s="13"/>
      <c r="J114" s="12"/>
      <c r="K114" s="12"/>
      <c r="L114" s="12">
        <f t="shared" si="52"/>
        <v>0</v>
      </c>
      <c r="M114" s="12"/>
      <c r="N114" s="12"/>
      <c r="O114" s="12"/>
      <c r="P114" s="12">
        <f t="shared" si="53"/>
        <v>0</v>
      </c>
      <c r="Q114" s="13"/>
      <c r="R114" s="12">
        <f t="shared" si="54"/>
        <v>15740416</v>
      </c>
      <c r="S114" s="12">
        <f t="shared" si="54"/>
        <v>7887951.54</v>
      </c>
      <c r="T114" s="14">
        <f t="shared" si="55"/>
        <v>7852464.46</v>
      </c>
      <c r="U114" s="17">
        <f t="shared" si="30"/>
        <v>0.50112725991485862</v>
      </c>
    </row>
    <row r="115" spans="2:22" ht="29.25" customHeight="1">
      <c r="B115" s="18"/>
      <c r="C115" s="10"/>
      <c r="D115" s="10"/>
      <c r="E115" s="21" t="s">
        <v>106</v>
      </c>
      <c r="F115" s="12">
        <v>4672000</v>
      </c>
      <c r="G115" s="12">
        <v>8980007.8300000001</v>
      </c>
      <c r="H115" s="12">
        <f t="shared" si="51"/>
        <v>-4308007.83</v>
      </c>
      <c r="I115" s="13"/>
      <c r="J115" s="12"/>
      <c r="K115" s="12"/>
      <c r="L115" s="12">
        <f t="shared" si="52"/>
        <v>0</v>
      </c>
      <c r="M115" s="12"/>
      <c r="N115" s="12"/>
      <c r="O115" s="12"/>
      <c r="P115" s="12">
        <f t="shared" si="53"/>
        <v>0</v>
      </c>
      <c r="Q115" s="13"/>
      <c r="R115" s="12">
        <f t="shared" si="54"/>
        <v>4672000</v>
      </c>
      <c r="S115" s="12">
        <f t="shared" si="54"/>
        <v>8980007.8300000001</v>
      </c>
      <c r="T115" s="14">
        <f t="shared" si="55"/>
        <v>-4308007.83</v>
      </c>
      <c r="U115" s="17">
        <f t="shared" si="30"/>
        <v>1.9220907170376713</v>
      </c>
    </row>
    <row r="116" spans="2:22" ht="24.95" customHeight="1">
      <c r="B116" s="18"/>
      <c r="C116" s="10"/>
      <c r="D116" s="10"/>
      <c r="E116" s="28"/>
      <c r="F116" s="12"/>
      <c r="G116" s="12"/>
      <c r="H116" s="12"/>
      <c r="I116" s="13"/>
      <c r="J116" s="12"/>
      <c r="K116" s="12"/>
      <c r="L116" s="12"/>
      <c r="M116" s="12"/>
      <c r="N116" s="12"/>
      <c r="O116" s="12"/>
      <c r="P116" s="12"/>
      <c r="Q116" s="13"/>
      <c r="R116" s="12"/>
      <c r="S116" s="12"/>
      <c r="T116" s="14"/>
      <c r="U116" s="17"/>
    </row>
    <row r="117" spans="2:22" ht="24.95" customHeight="1">
      <c r="B117" s="18"/>
      <c r="C117" s="20" t="s">
        <v>107</v>
      </c>
      <c r="D117" s="20"/>
      <c r="E117" s="10"/>
      <c r="F117" s="12"/>
      <c r="G117" s="12"/>
      <c r="H117" s="12"/>
      <c r="I117" s="13"/>
      <c r="J117" s="12"/>
      <c r="K117" s="12"/>
      <c r="L117" s="12"/>
      <c r="M117" s="12"/>
      <c r="N117" s="12"/>
      <c r="O117" s="12"/>
      <c r="P117" s="12"/>
      <c r="Q117" s="13"/>
      <c r="R117" s="12"/>
      <c r="S117" s="12"/>
      <c r="T117" s="14"/>
      <c r="U117" s="17"/>
    </row>
    <row r="118" spans="2:22" ht="24.95" customHeight="1">
      <c r="B118" s="18"/>
      <c r="C118" s="20"/>
      <c r="D118" s="20"/>
      <c r="E118" s="10" t="s">
        <v>108</v>
      </c>
      <c r="F118" s="12">
        <v>50781000</v>
      </c>
      <c r="G118" s="12">
        <v>38478988.32</v>
      </c>
      <c r="H118" s="12">
        <f>+F118-G118</f>
        <v>12302011.68</v>
      </c>
      <c r="I118" s="13"/>
      <c r="J118" s="12"/>
      <c r="K118" s="12"/>
      <c r="L118" s="12">
        <f>+J118-K118</f>
        <v>0</v>
      </c>
      <c r="M118" s="12"/>
      <c r="N118" s="12"/>
      <c r="O118" s="12"/>
      <c r="P118" s="12">
        <f>+N118-O118</f>
        <v>0</v>
      </c>
      <c r="Q118" s="13"/>
      <c r="R118" s="12">
        <f t="shared" ref="R118:S121" si="56">+F118+J118+N118</f>
        <v>50781000</v>
      </c>
      <c r="S118" s="12">
        <f t="shared" si="56"/>
        <v>38478988.32</v>
      </c>
      <c r="T118" s="14">
        <f>+R118-S118</f>
        <v>12302011.68</v>
      </c>
      <c r="U118" s="17">
        <f t="shared" si="30"/>
        <v>0.75774380811720921</v>
      </c>
    </row>
    <row r="119" spans="2:22" ht="28.5" customHeight="1">
      <c r="B119" s="18"/>
      <c r="C119" s="10"/>
      <c r="D119" s="10"/>
      <c r="E119" s="21" t="s">
        <v>109</v>
      </c>
      <c r="F119" s="12">
        <v>38345000</v>
      </c>
      <c r="G119" s="12">
        <v>15040351.439999999</v>
      </c>
      <c r="H119" s="12">
        <f>+F119-G119</f>
        <v>23304648.560000002</v>
      </c>
      <c r="I119" s="13"/>
      <c r="J119" s="12"/>
      <c r="K119" s="12"/>
      <c r="L119" s="12">
        <f>+J119-K119</f>
        <v>0</v>
      </c>
      <c r="M119" s="12"/>
      <c r="N119" s="12">
        <v>3098845</v>
      </c>
      <c r="O119" s="12">
        <v>1353998.28</v>
      </c>
      <c r="P119" s="12">
        <f>+N119-O119</f>
        <v>1744846.72</v>
      </c>
      <c r="Q119" s="13"/>
      <c r="R119" s="12">
        <f t="shared" si="56"/>
        <v>41443845</v>
      </c>
      <c r="S119" s="12">
        <f t="shared" si="56"/>
        <v>16394349.719999999</v>
      </c>
      <c r="T119" s="14">
        <f>+R119-S119</f>
        <v>25049495.280000001</v>
      </c>
      <c r="U119" s="17">
        <f t="shared" si="30"/>
        <v>0.39557984352079301</v>
      </c>
    </row>
    <row r="120" spans="2:22" ht="28.5" customHeight="1">
      <c r="B120" s="18"/>
      <c r="C120" s="10"/>
      <c r="D120" s="10"/>
      <c r="E120" s="21" t="s">
        <v>110</v>
      </c>
      <c r="F120" s="12">
        <v>33626000</v>
      </c>
      <c r="G120" s="12">
        <v>21721032.620000001</v>
      </c>
      <c r="H120" s="12">
        <f>+F120-G120</f>
        <v>11904967.379999999</v>
      </c>
      <c r="I120" s="13"/>
      <c r="J120" s="12">
        <v>7557898</v>
      </c>
      <c r="K120" s="12"/>
      <c r="L120" s="12">
        <f>+J120-K120</f>
        <v>7557898</v>
      </c>
      <c r="M120" s="12"/>
      <c r="N120" s="12"/>
      <c r="O120" s="12"/>
      <c r="P120" s="12">
        <f>+N120-O120</f>
        <v>0</v>
      </c>
      <c r="Q120" s="13"/>
      <c r="R120" s="12">
        <f t="shared" si="56"/>
        <v>41183898</v>
      </c>
      <c r="S120" s="12">
        <f t="shared" si="56"/>
        <v>21721032.620000001</v>
      </c>
      <c r="T120" s="14">
        <f>+R120-S120</f>
        <v>19462865.379999999</v>
      </c>
      <c r="U120" s="17">
        <f t="shared" si="30"/>
        <v>0.52741565696379689</v>
      </c>
    </row>
    <row r="121" spans="2:22" ht="28.5" customHeight="1">
      <c r="B121" s="18"/>
      <c r="C121" s="10"/>
      <c r="D121" s="10"/>
      <c r="E121" s="22" t="s">
        <v>111</v>
      </c>
      <c r="F121" s="12">
        <v>16353000</v>
      </c>
      <c r="G121" s="12">
        <v>7333677.8399999999</v>
      </c>
      <c r="H121" s="12">
        <f>+F121-G121</f>
        <v>9019322.1600000001</v>
      </c>
      <c r="I121" s="13"/>
      <c r="J121" s="12"/>
      <c r="K121" s="12">
        <v>3137249.75</v>
      </c>
      <c r="L121" s="12">
        <f>+J121-K121</f>
        <v>-3137249.75</v>
      </c>
      <c r="M121" s="12"/>
      <c r="N121" s="12"/>
      <c r="O121" s="12"/>
      <c r="P121" s="12">
        <f>+N121-O121</f>
        <v>0</v>
      </c>
      <c r="Q121" s="13"/>
      <c r="R121" s="12">
        <f t="shared" si="56"/>
        <v>16353000</v>
      </c>
      <c r="S121" s="12">
        <f t="shared" si="56"/>
        <v>10470927.59</v>
      </c>
      <c r="T121" s="14">
        <f>+R121-S121</f>
        <v>5882072.4100000001</v>
      </c>
      <c r="U121" s="17">
        <f t="shared" si="30"/>
        <v>0.64030621843086899</v>
      </c>
    </row>
    <row r="122" spans="2:22" ht="24.95" customHeight="1">
      <c r="B122" s="18"/>
      <c r="C122" s="10"/>
      <c r="D122" s="10"/>
      <c r="E122" s="22"/>
      <c r="F122" s="12"/>
      <c r="G122" s="12"/>
      <c r="H122" s="12"/>
      <c r="I122" s="13"/>
      <c r="J122" s="12"/>
      <c r="K122" s="12"/>
      <c r="L122" s="12"/>
      <c r="M122" s="12"/>
      <c r="N122" s="12"/>
      <c r="O122" s="12"/>
      <c r="P122" s="12"/>
      <c r="Q122" s="13"/>
      <c r="R122" s="12"/>
      <c r="S122" s="12"/>
      <c r="T122" s="14"/>
      <c r="U122" s="17"/>
    </row>
    <row r="123" spans="2:22" ht="24.95" customHeight="1">
      <c r="B123" s="18"/>
      <c r="C123" s="20" t="s">
        <v>112</v>
      </c>
      <c r="D123" s="20"/>
      <c r="E123" s="10"/>
      <c r="F123" s="12"/>
      <c r="G123" s="12"/>
      <c r="H123" s="12"/>
      <c r="I123" s="13"/>
      <c r="J123" s="12"/>
      <c r="K123" s="12"/>
      <c r="L123" s="12"/>
      <c r="M123" s="12"/>
      <c r="N123" s="12"/>
      <c r="O123" s="12"/>
      <c r="P123" s="12"/>
      <c r="Q123" s="13"/>
      <c r="R123" s="12"/>
      <c r="S123" s="12"/>
      <c r="T123" s="14"/>
      <c r="U123" s="17"/>
    </row>
    <row r="124" spans="2:22" ht="24.95" customHeight="1">
      <c r="B124" s="18"/>
      <c r="C124" s="20"/>
      <c r="D124" s="20"/>
      <c r="E124" s="10" t="s">
        <v>113</v>
      </c>
      <c r="F124" s="12">
        <v>33213185</v>
      </c>
      <c r="G124" s="12">
        <v>34124071.630000003</v>
      </c>
      <c r="H124" s="12">
        <f>+F124-G124</f>
        <v>-910886.63000000268</v>
      </c>
      <c r="I124" s="13"/>
      <c r="J124" s="12">
        <v>25000000</v>
      </c>
      <c r="K124" s="12">
        <v>20933058.719999999</v>
      </c>
      <c r="L124" s="12">
        <f>+J124-K124</f>
        <v>4066941.2800000012</v>
      </c>
      <c r="M124" s="12"/>
      <c r="N124" s="12">
        <v>82704</v>
      </c>
      <c r="O124" s="12">
        <v>82703.570000000007</v>
      </c>
      <c r="P124" s="12">
        <f>+N124-O124</f>
        <v>0.42999999999301508</v>
      </c>
      <c r="Q124" s="13"/>
      <c r="R124" s="12">
        <f t="shared" ref="R124:S126" si="57">+F124+J124+N124</f>
        <v>58295889</v>
      </c>
      <c r="S124" s="12">
        <f t="shared" si="57"/>
        <v>55139833.920000002</v>
      </c>
      <c r="T124" s="14">
        <f>+R124-S124</f>
        <v>3156055.0799999982</v>
      </c>
      <c r="U124" s="17">
        <f t="shared" si="30"/>
        <v>0.94586144693667851</v>
      </c>
      <c r="V124" s="2" t="s">
        <v>302</v>
      </c>
    </row>
    <row r="125" spans="2:22" ht="24.95" customHeight="1">
      <c r="B125" s="18"/>
      <c r="C125" s="10"/>
      <c r="D125" s="10"/>
      <c r="E125" s="22" t="s">
        <v>115</v>
      </c>
      <c r="F125" s="12">
        <v>80619845</v>
      </c>
      <c r="G125" s="12">
        <v>41875829.659999996</v>
      </c>
      <c r="H125" s="12">
        <f>+F125-G125</f>
        <v>38744015.340000004</v>
      </c>
      <c r="I125" s="13"/>
      <c r="J125" s="12"/>
      <c r="K125" s="12"/>
      <c r="L125" s="12">
        <f>+J125-K125</f>
        <v>0</v>
      </c>
      <c r="M125" s="12"/>
      <c r="N125" s="12">
        <v>750559</v>
      </c>
      <c r="O125" s="12">
        <v>15517348.710000001</v>
      </c>
      <c r="P125" s="12">
        <f>+N125-O125</f>
        <v>-14766789.710000001</v>
      </c>
      <c r="Q125" s="13"/>
      <c r="R125" s="12">
        <f t="shared" si="57"/>
        <v>81370404</v>
      </c>
      <c r="S125" s="12">
        <f t="shared" si="57"/>
        <v>57393178.369999997</v>
      </c>
      <c r="T125" s="14">
        <f>+R125-S125</f>
        <v>23977225.630000003</v>
      </c>
      <c r="U125" s="17">
        <f t="shared" si="30"/>
        <v>0.70533235118262405</v>
      </c>
    </row>
    <row r="126" spans="2:22" ht="28.5" customHeight="1">
      <c r="B126" s="18"/>
      <c r="C126" s="10"/>
      <c r="D126" s="10"/>
      <c r="E126" s="22" t="s">
        <v>116</v>
      </c>
      <c r="F126" s="12">
        <v>71626025</v>
      </c>
      <c r="G126" s="12">
        <v>28164972.18</v>
      </c>
      <c r="H126" s="12">
        <f>+F126-G126</f>
        <v>43461052.82</v>
      </c>
      <c r="I126" s="13"/>
      <c r="J126" s="12"/>
      <c r="K126" s="12"/>
      <c r="L126" s="12">
        <f>+J126-K126</f>
        <v>0</v>
      </c>
      <c r="M126" s="12"/>
      <c r="N126" s="12"/>
      <c r="O126" s="12"/>
      <c r="P126" s="12">
        <f>+N126-O126</f>
        <v>0</v>
      </c>
      <c r="Q126" s="13"/>
      <c r="R126" s="12">
        <f t="shared" si="57"/>
        <v>71626025</v>
      </c>
      <c r="S126" s="12">
        <f t="shared" si="57"/>
        <v>28164972.18</v>
      </c>
      <c r="T126" s="14">
        <f>+R126-S126</f>
        <v>43461052.82</v>
      </c>
      <c r="U126" s="17">
        <f t="shared" si="30"/>
        <v>0.39322260561018146</v>
      </c>
    </row>
    <row r="127" spans="2:22" ht="24.95" customHeight="1">
      <c r="B127" s="18"/>
      <c r="C127" s="10"/>
      <c r="D127" s="10"/>
      <c r="E127" s="22"/>
      <c r="F127" s="12"/>
      <c r="G127" s="12"/>
      <c r="H127" s="12"/>
      <c r="I127" s="13"/>
      <c r="J127" s="12"/>
      <c r="K127" s="12"/>
      <c r="L127" s="12"/>
      <c r="M127" s="12"/>
      <c r="N127" s="12"/>
      <c r="O127" s="12"/>
      <c r="P127" s="12"/>
      <c r="Q127" s="13"/>
      <c r="R127" s="12"/>
      <c r="S127" s="12"/>
      <c r="T127" s="14"/>
      <c r="U127" s="17"/>
    </row>
    <row r="128" spans="2:22" ht="24.95" customHeight="1">
      <c r="B128" s="18"/>
      <c r="C128" s="20" t="s">
        <v>117</v>
      </c>
      <c r="D128" s="20"/>
      <c r="E128" s="10"/>
      <c r="F128" s="12"/>
      <c r="G128" s="12"/>
      <c r="H128" s="12"/>
      <c r="I128" s="13"/>
      <c r="J128" s="12"/>
      <c r="K128" s="12"/>
      <c r="L128" s="12"/>
      <c r="M128" s="12"/>
      <c r="N128" s="12"/>
      <c r="O128" s="12"/>
      <c r="P128" s="12"/>
      <c r="Q128" s="13"/>
      <c r="R128" s="12"/>
      <c r="S128" s="12"/>
      <c r="T128" s="14"/>
      <c r="U128" s="17"/>
    </row>
    <row r="129" spans="2:21" ht="24.95" customHeight="1">
      <c r="B129" s="18"/>
      <c r="C129" s="20"/>
      <c r="D129" s="20"/>
      <c r="E129" s="10" t="s">
        <v>118</v>
      </c>
      <c r="F129" s="12">
        <v>38680335</v>
      </c>
      <c r="G129" s="12">
        <v>33376674.190000001</v>
      </c>
      <c r="H129" s="12">
        <f>+F129-G129</f>
        <v>5303660.8099999987</v>
      </c>
      <c r="I129" s="13"/>
      <c r="J129" s="12"/>
      <c r="K129" s="12">
        <v>30000000</v>
      </c>
      <c r="L129" s="12">
        <f>+J129-K129</f>
        <v>-30000000</v>
      </c>
      <c r="M129" s="12"/>
      <c r="N129" s="12"/>
      <c r="O129" s="12"/>
      <c r="P129" s="12">
        <f>+N129-O129</f>
        <v>0</v>
      </c>
      <c r="Q129" s="13"/>
      <c r="R129" s="12">
        <f t="shared" ref="R129:S131" si="58">+F129+J129+N129</f>
        <v>38680335</v>
      </c>
      <c r="S129" s="12">
        <f t="shared" si="58"/>
        <v>63376674.189999998</v>
      </c>
      <c r="T129" s="14">
        <f>+R129-S129</f>
        <v>-24696339.189999998</v>
      </c>
      <c r="U129" s="17">
        <f t="shared" si="30"/>
        <v>1.6384727327206448</v>
      </c>
    </row>
    <row r="130" spans="2:21" ht="27.75" customHeight="1">
      <c r="B130" s="18"/>
      <c r="C130" s="10"/>
      <c r="D130" s="10"/>
      <c r="E130" s="22" t="s">
        <v>119</v>
      </c>
      <c r="F130" s="12">
        <v>21386537</v>
      </c>
      <c r="G130" s="12">
        <v>15096043.42</v>
      </c>
      <c r="H130" s="12">
        <f>+F130-G130</f>
        <v>6290493.5800000001</v>
      </c>
      <c r="I130" s="13"/>
      <c r="J130" s="12"/>
      <c r="K130" s="12"/>
      <c r="L130" s="12">
        <f>+J130-K130</f>
        <v>0</v>
      </c>
      <c r="M130" s="12"/>
      <c r="N130" s="12"/>
      <c r="O130" s="12"/>
      <c r="P130" s="12">
        <f>+N130-O130</f>
        <v>0</v>
      </c>
      <c r="Q130" s="13"/>
      <c r="R130" s="12">
        <f t="shared" si="58"/>
        <v>21386537</v>
      </c>
      <c r="S130" s="12">
        <f t="shared" si="58"/>
        <v>15096043.42</v>
      </c>
      <c r="T130" s="14">
        <f>+R130-S130</f>
        <v>6290493.5800000001</v>
      </c>
      <c r="U130" s="17">
        <f t="shared" si="30"/>
        <v>0.70586665901075984</v>
      </c>
    </row>
    <row r="131" spans="2:21" ht="24.95" customHeight="1">
      <c r="B131" s="18"/>
      <c r="C131" s="10"/>
      <c r="D131" s="10"/>
      <c r="E131" s="28" t="s">
        <v>120</v>
      </c>
      <c r="F131" s="12">
        <v>3531873</v>
      </c>
      <c r="G131" s="12">
        <v>2583938.9700000002</v>
      </c>
      <c r="H131" s="12">
        <f>+F131-G131</f>
        <v>947934.0299999998</v>
      </c>
      <c r="I131" s="13"/>
      <c r="J131" s="12"/>
      <c r="K131" s="12">
        <v>145548.03</v>
      </c>
      <c r="L131" s="12">
        <f>+J131-K131</f>
        <v>-145548.03</v>
      </c>
      <c r="M131" s="12"/>
      <c r="N131" s="12"/>
      <c r="O131" s="12"/>
      <c r="P131" s="12">
        <f>+N131-O131</f>
        <v>0</v>
      </c>
      <c r="Q131" s="13"/>
      <c r="R131" s="12">
        <f t="shared" si="58"/>
        <v>3531873</v>
      </c>
      <c r="S131" s="12">
        <f t="shared" si="58"/>
        <v>2729487</v>
      </c>
      <c r="T131" s="14">
        <f>+R131-S131</f>
        <v>802386</v>
      </c>
      <c r="U131" s="17">
        <f t="shared" si="30"/>
        <v>0.77281572695280942</v>
      </c>
    </row>
    <row r="132" spans="2:21" ht="24.95" customHeight="1">
      <c r="B132" s="18"/>
      <c r="C132" s="10"/>
      <c r="D132" s="10"/>
      <c r="E132" s="28"/>
      <c r="F132" s="12"/>
      <c r="G132" s="12"/>
      <c r="H132" s="12"/>
      <c r="I132" s="13"/>
      <c r="J132" s="12"/>
      <c r="K132" s="12"/>
      <c r="L132" s="12"/>
      <c r="M132" s="12"/>
      <c r="N132" s="12"/>
      <c r="O132" s="12"/>
      <c r="P132" s="12"/>
      <c r="Q132" s="13"/>
      <c r="R132" s="12"/>
      <c r="S132" s="12"/>
      <c r="T132" s="14"/>
      <c r="U132" s="17"/>
    </row>
    <row r="133" spans="2:21" ht="24.95" customHeight="1">
      <c r="B133" s="18"/>
      <c r="C133" s="20" t="s">
        <v>121</v>
      </c>
      <c r="D133" s="20"/>
      <c r="E133" s="10"/>
      <c r="F133" s="12"/>
      <c r="G133" s="12"/>
      <c r="H133" s="12"/>
      <c r="I133" s="13"/>
      <c r="J133" s="12"/>
      <c r="K133" s="12"/>
      <c r="L133" s="12"/>
      <c r="M133" s="12"/>
      <c r="N133" s="12"/>
      <c r="O133" s="12"/>
      <c r="P133" s="12"/>
      <c r="Q133" s="13"/>
      <c r="R133" s="12"/>
      <c r="S133" s="12"/>
      <c r="T133" s="14"/>
      <c r="U133" s="17"/>
    </row>
    <row r="134" spans="2:21" ht="24.95" customHeight="1">
      <c r="B134" s="18"/>
      <c r="C134" s="20"/>
      <c r="D134" s="20"/>
      <c r="E134" s="10" t="s">
        <v>122</v>
      </c>
      <c r="F134" s="12">
        <v>85399690</v>
      </c>
      <c r="G134" s="12">
        <v>29763262.34</v>
      </c>
      <c r="H134" s="12">
        <f>+F134-G134</f>
        <v>55636427.659999996</v>
      </c>
      <c r="I134" s="13"/>
      <c r="J134" s="12"/>
      <c r="K134" s="12">
        <v>14417633.23</v>
      </c>
      <c r="L134" s="12">
        <f>+J134-K134</f>
        <v>-14417633.23</v>
      </c>
      <c r="M134" s="12"/>
      <c r="N134" s="12"/>
      <c r="O134" s="12"/>
      <c r="P134" s="12">
        <f>+N134-O134</f>
        <v>0</v>
      </c>
      <c r="Q134" s="13"/>
      <c r="R134" s="12">
        <f t="shared" ref="R134:S136" si="59">+F134+J134+N134</f>
        <v>85399690</v>
      </c>
      <c r="S134" s="12">
        <f t="shared" si="59"/>
        <v>44180895.57</v>
      </c>
      <c r="T134" s="14">
        <f>+R134-S134</f>
        <v>41218794.43</v>
      </c>
      <c r="U134" s="17">
        <f t="shared" si="30"/>
        <v>0.51734257548241691</v>
      </c>
    </row>
    <row r="135" spans="2:21" ht="27.75" customHeight="1">
      <c r="B135" s="18"/>
      <c r="C135" s="10"/>
      <c r="D135" s="10"/>
      <c r="E135" s="22" t="s">
        <v>123</v>
      </c>
      <c r="F135" s="12">
        <v>38364765</v>
      </c>
      <c r="G135" s="12">
        <v>15900006.119999999</v>
      </c>
      <c r="H135" s="12">
        <f>+F135-G135</f>
        <v>22464758.880000003</v>
      </c>
      <c r="I135" s="13"/>
      <c r="J135" s="12"/>
      <c r="K135" s="12"/>
      <c r="L135" s="12">
        <f>+J135-K135</f>
        <v>0</v>
      </c>
      <c r="M135" s="12"/>
      <c r="N135" s="12"/>
      <c r="O135" s="12"/>
      <c r="P135" s="12">
        <f>+N135-O135</f>
        <v>0</v>
      </c>
      <c r="Q135" s="13"/>
      <c r="R135" s="12">
        <f t="shared" si="59"/>
        <v>38364765</v>
      </c>
      <c r="S135" s="12">
        <f t="shared" si="59"/>
        <v>15900006.119999999</v>
      </c>
      <c r="T135" s="14">
        <f>+R135-S135</f>
        <v>22464758.880000003</v>
      </c>
      <c r="U135" s="17">
        <f t="shared" si="30"/>
        <v>0.41444294315369845</v>
      </c>
    </row>
    <row r="136" spans="2:21" ht="27.75" customHeight="1">
      <c r="B136" s="18"/>
      <c r="C136" s="10"/>
      <c r="D136" s="10"/>
      <c r="E136" s="22" t="s">
        <v>124</v>
      </c>
      <c r="F136" s="12">
        <v>21865871</v>
      </c>
      <c r="G136" s="12">
        <v>6550034.6900000004</v>
      </c>
      <c r="H136" s="12">
        <f>+F136-G136</f>
        <v>15315836.309999999</v>
      </c>
      <c r="I136" s="13"/>
      <c r="J136" s="12"/>
      <c r="K136" s="12"/>
      <c r="L136" s="12">
        <f>+J136-K136</f>
        <v>0</v>
      </c>
      <c r="M136" s="12"/>
      <c r="N136" s="12"/>
      <c r="O136" s="12"/>
      <c r="P136" s="12">
        <f>+N136-O136</f>
        <v>0</v>
      </c>
      <c r="Q136" s="13"/>
      <c r="R136" s="12">
        <f t="shared" si="59"/>
        <v>21865871</v>
      </c>
      <c r="S136" s="12">
        <f t="shared" si="59"/>
        <v>6550034.6900000004</v>
      </c>
      <c r="T136" s="14">
        <f>+R136-S136</f>
        <v>15315836.309999999</v>
      </c>
      <c r="U136" s="17">
        <f t="shared" si="30"/>
        <v>0.29955516933215237</v>
      </c>
    </row>
    <row r="137" spans="2:21" ht="27.75" customHeight="1">
      <c r="B137" s="18"/>
      <c r="C137" s="10"/>
      <c r="D137" s="10"/>
      <c r="E137" s="31" t="s">
        <v>51</v>
      </c>
      <c r="F137" s="32">
        <f>SUM(F108:F136)</f>
        <v>700590433</v>
      </c>
      <c r="G137" s="32">
        <f t="shared" ref="G137:S137" si="60">SUM(G108:G136)</f>
        <v>362024209.48000002</v>
      </c>
      <c r="H137" s="32">
        <f t="shared" si="60"/>
        <v>338566223.52000004</v>
      </c>
      <c r="I137" s="32">
        <f t="shared" si="60"/>
        <v>0</v>
      </c>
      <c r="J137" s="32">
        <f>SUM(J108:J136)</f>
        <v>55647777</v>
      </c>
      <c r="K137" s="32">
        <f t="shared" ref="K137" si="61">SUM(K108:K136)</f>
        <v>84615622.370000005</v>
      </c>
      <c r="L137" s="32">
        <f>SUM(L108:L136)</f>
        <v>-28967845.369999997</v>
      </c>
      <c r="M137" s="32">
        <f t="shared" si="60"/>
        <v>0</v>
      </c>
      <c r="N137" s="32">
        <f>SUM(N108:N136)</f>
        <v>3932108</v>
      </c>
      <c r="O137" s="32">
        <f t="shared" ref="O137" si="62">SUM(O108:O136)</f>
        <v>16954050.560000002</v>
      </c>
      <c r="P137" s="32">
        <f>SUM(P108:P136)</f>
        <v>-13021942.560000001</v>
      </c>
      <c r="Q137" s="32">
        <f t="shared" si="60"/>
        <v>0</v>
      </c>
      <c r="R137" s="32">
        <f t="shared" si="60"/>
        <v>760170318</v>
      </c>
      <c r="S137" s="32">
        <f t="shared" si="60"/>
        <v>463593882.41000003</v>
      </c>
      <c r="T137" s="34">
        <f>SUM(T108:T136)</f>
        <v>296576435.59000003</v>
      </c>
      <c r="U137" s="17">
        <f t="shared" si="30"/>
        <v>0.60985528036626135</v>
      </c>
    </row>
    <row r="138" spans="2:21" ht="24.95" customHeight="1">
      <c r="B138" s="18"/>
      <c r="C138" s="10"/>
      <c r="D138" s="10"/>
      <c r="E138" s="22"/>
      <c r="F138" s="12"/>
      <c r="G138" s="12"/>
      <c r="H138" s="12"/>
      <c r="I138" s="13"/>
      <c r="J138" s="12"/>
      <c r="K138" s="12"/>
      <c r="L138" s="12"/>
      <c r="M138" s="12"/>
      <c r="N138" s="12"/>
      <c r="O138" s="12"/>
      <c r="P138" s="12"/>
      <c r="Q138" s="13"/>
      <c r="R138" s="12"/>
      <c r="S138" s="12"/>
      <c r="T138" s="14"/>
      <c r="U138" s="17"/>
    </row>
    <row r="139" spans="2:21" ht="27.75" customHeight="1">
      <c r="B139" s="18"/>
      <c r="C139" s="24" t="s">
        <v>147</v>
      </c>
      <c r="D139" s="10"/>
      <c r="E139" s="22"/>
      <c r="F139" s="32"/>
      <c r="G139" s="32"/>
      <c r="H139" s="32"/>
      <c r="I139" s="33"/>
      <c r="J139" s="32"/>
      <c r="K139" s="32"/>
      <c r="L139" s="32"/>
      <c r="M139" s="32"/>
      <c r="N139" s="32"/>
      <c r="O139" s="32"/>
      <c r="P139" s="32"/>
      <c r="Q139" s="33"/>
      <c r="R139" s="32"/>
      <c r="S139" s="32"/>
      <c r="T139" s="34"/>
      <c r="U139" s="17"/>
    </row>
    <row r="140" spans="2:21" ht="27.75" customHeight="1">
      <c r="B140" s="18"/>
      <c r="C140" s="10"/>
      <c r="D140" s="10"/>
      <c r="E140" s="10" t="s">
        <v>148</v>
      </c>
      <c r="F140" s="12">
        <v>28932000</v>
      </c>
      <c r="G140" s="12">
        <v>23932974.579999998</v>
      </c>
      <c r="H140" s="12">
        <f>+F140-G140</f>
        <v>4999025.4200000018</v>
      </c>
      <c r="I140" s="13"/>
      <c r="J140" s="12"/>
      <c r="K140" s="12"/>
      <c r="L140" s="12">
        <f>+J140-K140</f>
        <v>0</v>
      </c>
      <c r="M140" s="12"/>
      <c r="N140" s="12"/>
      <c r="O140" s="12"/>
      <c r="P140" s="12">
        <f>+N140-O140</f>
        <v>0</v>
      </c>
      <c r="Q140" s="13"/>
      <c r="R140" s="12">
        <f t="shared" ref="R140:S141" si="63">+F140+J140+N140</f>
        <v>28932000</v>
      </c>
      <c r="S140" s="12">
        <f t="shared" si="63"/>
        <v>23932974.579999998</v>
      </c>
      <c r="T140" s="14">
        <f>+R140-S140</f>
        <v>4999025.4200000018</v>
      </c>
      <c r="U140" s="17">
        <f t="shared" ref="U140:U141" si="64">+S140/R140</f>
        <v>0.8272146612747131</v>
      </c>
    </row>
    <row r="141" spans="2:21" ht="27.75" customHeight="1">
      <c r="B141" s="18"/>
      <c r="C141" s="10"/>
      <c r="D141" s="10"/>
      <c r="E141" s="10" t="s">
        <v>149</v>
      </c>
      <c r="F141" s="12">
        <v>28374000</v>
      </c>
      <c r="G141" s="12">
        <v>26195878.829999998</v>
      </c>
      <c r="H141" s="12">
        <f>+F141-G141</f>
        <v>2178121.1700000018</v>
      </c>
      <c r="I141" s="13"/>
      <c r="J141" s="12"/>
      <c r="K141" s="12"/>
      <c r="L141" s="12">
        <f>+J141-K141</f>
        <v>0</v>
      </c>
      <c r="M141" s="12"/>
      <c r="N141" s="12"/>
      <c r="O141" s="12"/>
      <c r="P141" s="12">
        <f>+N141-O141</f>
        <v>0</v>
      </c>
      <c r="Q141" s="13"/>
      <c r="R141" s="12">
        <f t="shared" si="63"/>
        <v>28374000</v>
      </c>
      <c r="S141" s="12">
        <f t="shared" si="63"/>
        <v>26195878.829999998</v>
      </c>
      <c r="T141" s="14">
        <f>+R141-S141</f>
        <v>2178121.1700000018</v>
      </c>
      <c r="U141" s="17">
        <f t="shared" si="64"/>
        <v>0.92323531507718326</v>
      </c>
    </row>
    <row r="142" spans="2:21" ht="24.95" customHeight="1">
      <c r="B142" s="18"/>
      <c r="C142" s="10"/>
      <c r="D142" s="10"/>
      <c r="E142" s="22"/>
      <c r="F142" s="12"/>
      <c r="G142" s="12"/>
      <c r="H142" s="12"/>
      <c r="I142" s="13"/>
      <c r="J142" s="12"/>
      <c r="K142" s="12"/>
      <c r="L142" s="12"/>
      <c r="M142" s="12"/>
      <c r="N142" s="12"/>
      <c r="O142" s="12"/>
      <c r="P142" s="12"/>
      <c r="Q142" s="13"/>
      <c r="R142" s="12"/>
      <c r="S142" s="12"/>
      <c r="T142" s="14"/>
      <c r="U142" s="17"/>
    </row>
    <row r="143" spans="2:21" s="48" customFormat="1" ht="15.75" thickBot="1">
      <c r="B143" s="44"/>
      <c r="C143" s="24"/>
      <c r="D143" s="24"/>
      <c r="E143" s="45" t="s">
        <v>125</v>
      </c>
      <c r="F143" s="46">
        <f>+F8+F51+F81+F104+F137+F49+F50+F140+F141</f>
        <v>6577791508.04</v>
      </c>
      <c r="G143" s="46">
        <f t="shared" ref="G143:H143" si="65">+G8+G51+G81+G104+G137+G49+G50+G140+G141</f>
        <v>2388913965.4999995</v>
      </c>
      <c r="H143" s="46">
        <f t="shared" si="65"/>
        <v>4188877542.54</v>
      </c>
      <c r="I143" s="46">
        <f t="shared" ref="I143:Q143" si="66">+I8+I51+I81+I104+I137+I49+I50</f>
        <v>2208000</v>
      </c>
      <c r="J143" s="46">
        <f>+J8+J51+J81+J104+J137+J49+J50+J140+J141</f>
        <v>359264074.86000001</v>
      </c>
      <c r="K143" s="46">
        <f t="shared" ref="K143:L143" si="67">+K8+K51+K81+K104+K137+K49+K50+K140+K141</f>
        <v>267819488.98000002</v>
      </c>
      <c r="L143" s="46">
        <f t="shared" si="67"/>
        <v>91444585.880000025</v>
      </c>
      <c r="M143" s="46">
        <f t="shared" si="66"/>
        <v>0</v>
      </c>
      <c r="N143" s="46">
        <f>+N8+N51+N81+N104+N137+N49+N50+N140+N141</f>
        <v>40127469.07</v>
      </c>
      <c r="O143" s="46">
        <f t="shared" ref="O143:P143" si="68">+O8+O51+O81+O104+O137+O49+O50+O140+O141</f>
        <v>54072597.359999999</v>
      </c>
      <c r="P143" s="46">
        <f t="shared" si="68"/>
        <v>-13945128.290000001</v>
      </c>
      <c r="Q143" s="46">
        <f t="shared" si="66"/>
        <v>0</v>
      </c>
      <c r="R143" s="46">
        <f>+R8+R51+R81+R104+R137+R49+R50+R140+R141</f>
        <v>6977183051.9700003</v>
      </c>
      <c r="S143" s="46">
        <f t="shared" ref="S143:T143" si="69">+S8+S51+S81+S104+S137+S49+S50+S140+S141</f>
        <v>2710806051.8399997</v>
      </c>
      <c r="T143" s="46">
        <f t="shared" si="69"/>
        <v>4266377000.1300001</v>
      </c>
      <c r="U143" s="47">
        <f>+S143/R143</f>
        <v>0.38852442764485107</v>
      </c>
    </row>
    <row r="144" spans="2:21" ht="15.75" thickTop="1" thickBot="1">
      <c r="B144" s="49"/>
      <c r="C144" s="50"/>
      <c r="D144" s="50"/>
      <c r="E144" s="51"/>
      <c r="F144" s="52"/>
      <c r="G144" s="52"/>
      <c r="H144" s="52"/>
      <c r="I144" s="53"/>
      <c r="J144" s="54"/>
      <c r="K144" s="54"/>
      <c r="L144" s="54"/>
      <c r="M144" s="54"/>
      <c r="N144" s="54"/>
      <c r="O144" s="54"/>
      <c r="P144" s="54"/>
      <c r="Q144" s="53"/>
      <c r="R144" s="54"/>
      <c r="S144" s="54"/>
      <c r="T144" s="55"/>
      <c r="U144" s="56"/>
    </row>
    <row r="145" spans="6:20" ht="24.95" customHeight="1">
      <c r="F145" s="30">
        <f>+F143+J143</f>
        <v>6937055582.8999996</v>
      </c>
      <c r="G145" s="30">
        <f>+G143+K143</f>
        <v>2656733454.4799995</v>
      </c>
      <c r="H145" s="30">
        <f>+F145-G145</f>
        <v>4280322128.4200001</v>
      </c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6:20" ht="24.95" customHeight="1">
      <c r="F146" s="58" t="s">
        <v>126</v>
      </c>
      <c r="J146" s="58" t="s">
        <v>127</v>
      </c>
      <c r="K146" s="30"/>
      <c r="N146" s="58" t="s">
        <v>128</v>
      </c>
      <c r="R146" s="13"/>
      <c r="S146" s="13"/>
      <c r="T146" s="13"/>
    </row>
    <row r="147" spans="6:20" ht="24.95" customHeight="1">
      <c r="R147" s="13"/>
      <c r="S147" s="13"/>
      <c r="T147" s="13"/>
    </row>
    <row r="148" spans="6:20" ht="24.95" customHeight="1">
      <c r="F148" s="59" t="s">
        <v>129</v>
      </c>
      <c r="J148" s="59" t="s">
        <v>130</v>
      </c>
      <c r="N148" s="59" t="s">
        <v>131</v>
      </c>
      <c r="R148" s="30"/>
      <c r="S148" s="30"/>
      <c r="T148" s="30"/>
    </row>
    <row r="149" spans="6:20" ht="17.25" customHeight="1">
      <c r="F149" s="58" t="s">
        <v>132</v>
      </c>
      <c r="J149" s="58" t="s">
        <v>133</v>
      </c>
      <c r="N149" s="58" t="s">
        <v>134</v>
      </c>
    </row>
  </sheetData>
  <autoFilter ref="B7:U140"/>
  <mergeCells count="11">
    <mergeCell ref="U5:U6"/>
    <mergeCell ref="C11:E11"/>
    <mergeCell ref="B1:T1"/>
    <mergeCell ref="B2:T2"/>
    <mergeCell ref="B3:T3"/>
    <mergeCell ref="B4:T4"/>
    <mergeCell ref="B5:E6"/>
    <mergeCell ref="F5:H5"/>
    <mergeCell ref="J5:L5"/>
    <mergeCell ref="N5:P5"/>
    <mergeCell ref="R5:T5"/>
  </mergeCells>
  <pageMargins left="1.25" right="0" top="0.36" bottom="0.3" header="0.27" footer="0.17"/>
  <pageSetup paperSize="5" scale="55" orientation="landscape" horizontalDpi="0" verticalDpi="0" r:id="rId1"/>
  <headerFooter>
    <oddFooter>&amp;R&amp;"-,Italic"&amp;8Page &amp;P of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Y149"/>
  <sheetViews>
    <sheetView tabSelected="1" zoomScale="75" zoomScaleNormal="75" workbookViewId="0">
      <pane xSplit="5" ySplit="6" topLeftCell="F15" activePane="bottomRight" state="frozen"/>
      <selection pane="topRight" activeCell="F1" sqref="F1"/>
      <selection pane="bottomLeft" activeCell="A7" sqref="A7"/>
      <selection pane="bottomRight" activeCell="J22" sqref="J22"/>
    </sheetView>
  </sheetViews>
  <sheetFormatPr defaultRowHeight="24.95" customHeight="1"/>
  <cols>
    <col min="1" max="4" width="2.7109375" style="2" customWidth="1"/>
    <col min="5" max="5" width="50.5703125" style="57" customWidth="1"/>
    <col min="6" max="7" width="19.28515625" style="2" customWidth="1"/>
    <col min="8" max="8" width="18.5703125" style="2" customWidth="1"/>
    <col min="9" max="9" width="0.7109375" style="2" customWidth="1"/>
    <col min="10" max="10" width="24" style="2" bestFit="1" customWidth="1"/>
    <col min="11" max="11" width="18.7109375" style="2" bestFit="1" customWidth="1"/>
    <col min="12" max="12" width="19.42578125" style="2" bestFit="1" customWidth="1"/>
    <col min="13" max="13" width="0.5703125" style="2" customWidth="1"/>
    <col min="14" max="15" width="18.7109375" style="2" bestFit="1" customWidth="1"/>
    <col min="16" max="16" width="16.5703125" style="2" customWidth="1"/>
    <col min="17" max="17" width="0.7109375" style="2" customWidth="1"/>
    <col min="18" max="19" width="19.85546875" style="2" bestFit="1" customWidth="1"/>
    <col min="20" max="20" width="18.7109375" style="2" bestFit="1" customWidth="1"/>
    <col min="21" max="21" width="14.5703125" style="1" customWidth="1"/>
    <col min="22" max="22" width="9.140625" style="2"/>
    <col min="23" max="23" width="13.140625" style="2" bestFit="1" customWidth="1"/>
    <col min="24" max="256" width="9.140625" style="2"/>
    <col min="257" max="260" width="2.7109375" style="2" customWidth="1"/>
    <col min="261" max="261" width="50.5703125" style="2" customWidth="1"/>
    <col min="262" max="263" width="19.28515625" style="2" customWidth="1"/>
    <col min="264" max="264" width="18.5703125" style="2" customWidth="1"/>
    <col min="265" max="265" width="0.7109375" style="2" customWidth="1"/>
    <col min="266" max="266" width="24" style="2" bestFit="1" customWidth="1"/>
    <col min="267" max="267" width="18.7109375" style="2" bestFit="1" customWidth="1"/>
    <col min="268" max="268" width="19.42578125" style="2" bestFit="1" customWidth="1"/>
    <col min="269" max="269" width="0.5703125" style="2" customWidth="1"/>
    <col min="270" max="271" width="18.7109375" style="2" bestFit="1" customWidth="1"/>
    <col min="272" max="272" width="16.5703125" style="2" customWidth="1"/>
    <col min="273" max="273" width="0.7109375" style="2" customWidth="1"/>
    <col min="274" max="275" width="19.85546875" style="2" bestFit="1" customWidth="1"/>
    <col min="276" max="276" width="18.7109375" style="2" bestFit="1" customWidth="1"/>
    <col min="277" max="277" width="14.5703125" style="2" customWidth="1"/>
    <col min="278" max="278" width="9.140625" style="2"/>
    <col min="279" max="279" width="13.140625" style="2" bestFit="1" customWidth="1"/>
    <col min="280" max="512" width="9.140625" style="2"/>
    <col min="513" max="516" width="2.7109375" style="2" customWidth="1"/>
    <col min="517" max="517" width="50.5703125" style="2" customWidth="1"/>
    <col min="518" max="519" width="19.28515625" style="2" customWidth="1"/>
    <col min="520" max="520" width="18.5703125" style="2" customWidth="1"/>
    <col min="521" max="521" width="0.7109375" style="2" customWidth="1"/>
    <col min="522" max="522" width="24" style="2" bestFit="1" customWidth="1"/>
    <col min="523" max="523" width="18.7109375" style="2" bestFit="1" customWidth="1"/>
    <col min="524" max="524" width="19.42578125" style="2" bestFit="1" customWidth="1"/>
    <col min="525" max="525" width="0.5703125" style="2" customWidth="1"/>
    <col min="526" max="527" width="18.7109375" style="2" bestFit="1" customWidth="1"/>
    <col min="528" max="528" width="16.5703125" style="2" customWidth="1"/>
    <col min="529" max="529" width="0.7109375" style="2" customWidth="1"/>
    <col min="530" max="531" width="19.85546875" style="2" bestFit="1" customWidth="1"/>
    <col min="532" max="532" width="18.7109375" style="2" bestFit="1" customWidth="1"/>
    <col min="533" max="533" width="14.5703125" style="2" customWidth="1"/>
    <col min="534" max="534" width="9.140625" style="2"/>
    <col min="535" max="535" width="13.140625" style="2" bestFit="1" customWidth="1"/>
    <col min="536" max="768" width="9.140625" style="2"/>
    <col min="769" max="772" width="2.7109375" style="2" customWidth="1"/>
    <col min="773" max="773" width="50.5703125" style="2" customWidth="1"/>
    <col min="774" max="775" width="19.28515625" style="2" customWidth="1"/>
    <col min="776" max="776" width="18.5703125" style="2" customWidth="1"/>
    <col min="777" max="777" width="0.7109375" style="2" customWidth="1"/>
    <col min="778" max="778" width="24" style="2" bestFit="1" customWidth="1"/>
    <col min="779" max="779" width="18.7109375" style="2" bestFit="1" customWidth="1"/>
    <col min="780" max="780" width="19.42578125" style="2" bestFit="1" customWidth="1"/>
    <col min="781" max="781" width="0.5703125" style="2" customWidth="1"/>
    <col min="782" max="783" width="18.7109375" style="2" bestFit="1" customWidth="1"/>
    <col min="784" max="784" width="16.5703125" style="2" customWidth="1"/>
    <col min="785" max="785" width="0.7109375" style="2" customWidth="1"/>
    <col min="786" max="787" width="19.85546875" style="2" bestFit="1" customWidth="1"/>
    <col min="788" max="788" width="18.7109375" style="2" bestFit="1" customWidth="1"/>
    <col min="789" max="789" width="14.5703125" style="2" customWidth="1"/>
    <col min="790" max="790" width="9.140625" style="2"/>
    <col min="791" max="791" width="13.140625" style="2" bestFit="1" customWidth="1"/>
    <col min="792" max="1024" width="9.140625" style="2"/>
    <col min="1025" max="1028" width="2.7109375" style="2" customWidth="1"/>
    <col min="1029" max="1029" width="50.5703125" style="2" customWidth="1"/>
    <col min="1030" max="1031" width="19.28515625" style="2" customWidth="1"/>
    <col min="1032" max="1032" width="18.5703125" style="2" customWidth="1"/>
    <col min="1033" max="1033" width="0.7109375" style="2" customWidth="1"/>
    <col min="1034" max="1034" width="24" style="2" bestFit="1" customWidth="1"/>
    <col min="1035" max="1035" width="18.7109375" style="2" bestFit="1" customWidth="1"/>
    <col min="1036" max="1036" width="19.42578125" style="2" bestFit="1" customWidth="1"/>
    <col min="1037" max="1037" width="0.5703125" style="2" customWidth="1"/>
    <col min="1038" max="1039" width="18.7109375" style="2" bestFit="1" customWidth="1"/>
    <col min="1040" max="1040" width="16.5703125" style="2" customWidth="1"/>
    <col min="1041" max="1041" width="0.7109375" style="2" customWidth="1"/>
    <col min="1042" max="1043" width="19.85546875" style="2" bestFit="1" customWidth="1"/>
    <col min="1044" max="1044" width="18.7109375" style="2" bestFit="1" customWidth="1"/>
    <col min="1045" max="1045" width="14.5703125" style="2" customWidth="1"/>
    <col min="1046" max="1046" width="9.140625" style="2"/>
    <col min="1047" max="1047" width="13.140625" style="2" bestFit="1" customWidth="1"/>
    <col min="1048" max="1280" width="9.140625" style="2"/>
    <col min="1281" max="1284" width="2.7109375" style="2" customWidth="1"/>
    <col min="1285" max="1285" width="50.5703125" style="2" customWidth="1"/>
    <col min="1286" max="1287" width="19.28515625" style="2" customWidth="1"/>
    <col min="1288" max="1288" width="18.5703125" style="2" customWidth="1"/>
    <col min="1289" max="1289" width="0.7109375" style="2" customWidth="1"/>
    <col min="1290" max="1290" width="24" style="2" bestFit="1" customWidth="1"/>
    <col min="1291" max="1291" width="18.7109375" style="2" bestFit="1" customWidth="1"/>
    <col min="1292" max="1292" width="19.42578125" style="2" bestFit="1" customWidth="1"/>
    <col min="1293" max="1293" width="0.5703125" style="2" customWidth="1"/>
    <col min="1294" max="1295" width="18.7109375" style="2" bestFit="1" customWidth="1"/>
    <col min="1296" max="1296" width="16.5703125" style="2" customWidth="1"/>
    <col min="1297" max="1297" width="0.7109375" style="2" customWidth="1"/>
    <col min="1298" max="1299" width="19.85546875" style="2" bestFit="1" customWidth="1"/>
    <col min="1300" max="1300" width="18.7109375" style="2" bestFit="1" customWidth="1"/>
    <col min="1301" max="1301" width="14.5703125" style="2" customWidth="1"/>
    <col min="1302" max="1302" width="9.140625" style="2"/>
    <col min="1303" max="1303" width="13.140625" style="2" bestFit="1" customWidth="1"/>
    <col min="1304" max="1536" width="9.140625" style="2"/>
    <col min="1537" max="1540" width="2.7109375" style="2" customWidth="1"/>
    <col min="1541" max="1541" width="50.5703125" style="2" customWidth="1"/>
    <col min="1542" max="1543" width="19.28515625" style="2" customWidth="1"/>
    <col min="1544" max="1544" width="18.5703125" style="2" customWidth="1"/>
    <col min="1545" max="1545" width="0.7109375" style="2" customWidth="1"/>
    <col min="1546" max="1546" width="24" style="2" bestFit="1" customWidth="1"/>
    <col min="1547" max="1547" width="18.7109375" style="2" bestFit="1" customWidth="1"/>
    <col min="1548" max="1548" width="19.42578125" style="2" bestFit="1" customWidth="1"/>
    <col min="1549" max="1549" width="0.5703125" style="2" customWidth="1"/>
    <col min="1550" max="1551" width="18.7109375" style="2" bestFit="1" customWidth="1"/>
    <col min="1552" max="1552" width="16.5703125" style="2" customWidth="1"/>
    <col min="1553" max="1553" width="0.7109375" style="2" customWidth="1"/>
    <col min="1554" max="1555" width="19.85546875" style="2" bestFit="1" customWidth="1"/>
    <col min="1556" max="1556" width="18.7109375" style="2" bestFit="1" customWidth="1"/>
    <col min="1557" max="1557" width="14.5703125" style="2" customWidth="1"/>
    <col min="1558" max="1558" width="9.140625" style="2"/>
    <col min="1559" max="1559" width="13.140625" style="2" bestFit="1" customWidth="1"/>
    <col min="1560" max="1792" width="9.140625" style="2"/>
    <col min="1793" max="1796" width="2.7109375" style="2" customWidth="1"/>
    <col min="1797" max="1797" width="50.5703125" style="2" customWidth="1"/>
    <col min="1798" max="1799" width="19.28515625" style="2" customWidth="1"/>
    <col min="1800" max="1800" width="18.5703125" style="2" customWidth="1"/>
    <col min="1801" max="1801" width="0.7109375" style="2" customWidth="1"/>
    <col min="1802" max="1802" width="24" style="2" bestFit="1" customWidth="1"/>
    <col min="1803" max="1803" width="18.7109375" style="2" bestFit="1" customWidth="1"/>
    <col min="1804" max="1804" width="19.42578125" style="2" bestFit="1" customWidth="1"/>
    <col min="1805" max="1805" width="0.5703125" style="2" customWidth="1"/>
    <col min="1806" max="1807" width="18.7109375" style="2" bestFit="1" customWidth="1"/>
    <col min="1808" max="1808" width="16.5703125" style="2" customWidth="1"/>
    <col min="1809" max="1809" width="0.7109375" style="2" customWidth="1"/>
    <col min="1810" max="1811" width="19.85546875" style="2" bestFit="1" customWidth="1"/>
    <col min="1812" max="1812" width="18.7109375" style="2" bestFit="1" customWidth="1"/>
    <col min="1813" max="1813" width="14.5703125" style="2" customWidth="1"/>
    <col min="1814" max="1814" width="9.140625" style="2"/>
    <col min="1815" max="1815" width="13.140625" style="2" bestFit="1" customWidth="1"/>
    <col min="1816" max="2048" width="9.140625" style="2"/>
    <col min="2049" max="2052" width="2.7109375" style="2" customWidth="1"/>
    <col min="2053" max="2053" width="50.5703125" style="2" customWidth="1"/>
    <col min="2054" max="2055" width="19.28515625" style="2" customWidth="1"/>
    <col min="2056" max="2056" width="18.5703125" style="2" customWidth="1"/>
    <col min="2057" max="2057" width="0.7109375" style="2" customWidth="1"/>
    <col min="2058" max="2058" width="24" style="2" bestFit="1" customWidth="1"/>
    <col min="2059" max="2059" width="18.7109375" style="2" bestFit="1" customWidth="1"/>
    <col min="2060" max="2060" width="19.42578125" style="2" bestFit="1" customWidth="1"/>
    <col min="2061" max="2061" width="0.5703125" style="2" customWidth="1"/>
    <col min="2062" max="2063" width="18.7109375" style="2" bestFit="1" customWidth="1"/>
    <col min="2064" max="2064" width="16.5703125" style="2" customWidth="1"/>
    <col min="2065" max="2065" width="0.7109375" style="2" customWidth="1"/>
    <col min="2066" max="2067" width="19.85546875" style="2" bestFit="1" customWidth="1"/>
    <col min="2068" max="2068" width="18.7109375" style="2" bestFit="1" customWidth="1"/>
    <col min="2069" max="2069" width="14.5703125" style="2" customWidth="1"/>
    <col min="2070" max="2070" width="9.140625" style="2"/>
    <col min="2071" max="2071" width="13.140625" style="2" bestFit="1" customWidth="1"/>
    <col min="2072" max="2304" width="9.140625" style="2"/>
    <col min="2305" max="2308" width="2.7109375" style="2" customWidth="1"/>
    <col min="2309" max="2309" width="50.5703125" style="2" customWidth="1"/>
    <col min="2310" max="2311" width="19.28515625" style="2" customWidth="1"/>
    <col min="2312" max="2312" width="18.5703125" style="2" customWidth="1"/>
    <col min="2313" max="2313" width="0.7109375" style="2" customWidth="1"/>
    <col min="2314" max="2314" width="24" style="2" bestFit="1" customWidth="1"/>
    <col min="2315" max="2315" width="18.7109375" style="2" bestFit="1" customWidth="1"/>
    <col min="2316" max="2316" width="19.42578125" style="2" bestFit="1" customWidth="1"/>
    <col min="2317" max="2317" width="0.5703125" style="2" customWidth="1"/>
    <col min="2318" max="2319" width="18.7109375" style="2" bestFit="1" customWidth="1"/>
    <col min="2320" max="2320" width="16.5703125" style="2" customWidth="1"/>
    <col min="2321" max="2321" width="0.7109375" style="2" customWidth="1"/>
    <col min="2322" max="2323" width="19.85546875" style="2" bestFit="1" customWidth="1"/>
    <col min="2324" max="2324" width="18.7109375" style="2" bestFit="1" customWidth="1"/>
    <col min="2325" max="2325" width="14.5703125" style="2" customWidth="1"/>
    <col min="2326" max="2326" width="9.140625" style="2"/>
    <col min="2327" max="2327" width="13.140625" style="2" bestFit="1" customWidth="1"/>
    <col min="2328" max="2560" width="9.140625" style="2"/>
    <col min="2561" max="2564" width="2.7109375" style="2" customWidth="1"/>
    <col min="2565" max="2565" width="50.5703125" style="2" customWidth="1"/>
    <col min="2566" max="2567" width="19.28515625" style="2" customWidth="1"/>
    <col min="2568" max="2568" width="18.5703125" style="2" customWidth="1"/>
    <col min="2569" max="2569" width="0.7109375" style="2" customWidth="1"/>
    <col min="2570" max="2570" width="24" style="2" bestFit="1" customWidth="1"/>
    <col min="2571" max="2571" width="18.7109375" style="2" bestFit="1" customWidth="1"/>
    <col min="2572" max="2572" width="19.42578125" style="2" bestFit="1" customWidth="1"/>
    <col min="2573" max="2573" width="0.5703125" style="2" customWidth="1"/>
    <col min="2574" max="2575" width="18.7109375" style="2" bestFit="1" customWidth="1"/>
    <col min="2576" max="2576" width="16.5703125" style="2" customWidth="1"/>
    <col min="2577" max="2577" width="0.7109375" style="2" customWidth="1"/>
    <col min="2578" max="2579" width="19.85546875" style="2" bestFit="1" customWidth="1"/>
    <col min="2580" max="2580" width="18.7109375" style="2" bestFit="1" customWidth="1"/>
    <col min="2581" max="2581" width="14.5703125" style="2" customWidth="1"/>
    <col min="2582" max="2582" width="9.140625" style="2"/>
    <col min="2583" max="2583" width="13.140625" style="2" bestFit="1" customWidth="1"/>
    <col min="2584" max="2816" width="9.140625" style="2"/>
    <col min="2817" max="2820" width="2.7109375" style="2" customWidth="1"/>
    <col min="2821" max="2821" width="50.5703125" style="2" customWidth="1"/>
    <col min="2822" max="2823" width="19.28515625" style="2" customWidth="1"/>
    <col min="2824" max="2824" width="18.5703125" style="2" customWidth="1"/>
    <col min="2825" max="2825" width="0.7109375" style="2" customWidth="1"/>
    <col min="2826" max="2826" width="24" style="2" bestFit="1" customWidth="1"/>
    <col min="2827" max="2827" width="18.7109375" style="2" bestFit="1" customWidth="1"/>
    <col min="2828" max="2828" width="19.42578125" style="2" bestFit="1" customWidth="1"/>
    <col min="2829" max="2829" width="0.5703125" style="2" customWidth="1"/>
    <col min="2830" max="2831" width="18.7109375" style="2" bestFit="1" customWidth="1"/>
    <col min="2832" max="2832" width="16.5703125" style="2" customWidth="1"/>
    <col min="2833" max="2833" width="0.7109375" style="2" customWidth="1"/>
    <col min="2834" max="2835" width="19.85546875" style="2" bestFit="1" customWidth="1"/>
    <col min="2836" max="2836" width="18.7109375" style="2" bestFit="1" customWidth="1"/>
    <col min="2837" max="2837" width="14.5703125" style="2" customWidth="1"/>
    <col min="2838" max="2838" width="9.140625" style="2"/>
    <col min="2839" max="2839" width="13.140625" style="2" bestFit="1" customWidth="1"/>
    <col min="2840" max="3072" width="9.140625" style="2"/>
    <col min="3073" max="3076" width="2.7109375" style="2" customWidth="1"/>
    <col min="3077" max="3077" width="50.5703125" style="2" customWidth="1"/>
    <col min="3078" max="3079" width="19.28515625" style="2" customWidth="1"/>
    <col min="3080" max="3080" width="18.5703125" style="2" customWidth="1"/>
    <col min="3081" max="3081" width="0.7109375" style="2" customWidth="1"/>
    <col min="3082" max="3082" width="24" style="2" bestFit="1" customWidth="1"/>
    <col min="3083" max="3083" width="18.7109375" style="2" bestFit="1" customWidth="1"/>
    <col min="3084" max="3084" width="19.42578125" style="2" bestFit="1" customWidth="1"/>
    <col min="3085" max="3085" width="0.5703125" style="2" customWidth="1"/>
    <col min="3086" max="3087" width="18.7109375" style="2" bestFit="1" customWidth="1"/>
    <col min="3088" max="3088" width="16.5703125" style="2" customWidth="1"/>
    <col min="3089" max="3089" width="0.7109375" style="2" customWidth="1"/>
    <col min="3090" max="3091" width="19.85546875" style="2" bestFit="1" customWidth="1"/>
    <col min="3092" max="3092" width="18.7109375" style="2" bestFit="1" customWidth="1"/>
    <col min="3093" max="3093" width="14.5703125" style="2" customWidth="1"/>
    <col min="3094" max="3094" width="9.140625" style="2"/>
    <col min="3095" max="3095" width="13.140625" style="2" bestFit="1" customWidth="1"/>
    <col min="3096" max="3328" width="9.140625" style="2"/>
    <col min="3329" max="3332" width="2.7109375" style="2" customWidth="1"/>
    <col min="3333" max="3333" width="50.5703125" style="2" customWidth="1"/>
    <col min="3334" max="3335" width="19.28515625" style="2" customWidth="1"/>
    <col min="3336" max="3336" width="18.5703125" style="2" customWidth="1"/>
    <col min="3337" max="3337" width="0.7109375" style="2" customWidth="1"/>
    <col min="3338" max="3338" width="24" style="2" bestFit="1" customWidth="1"/>
    <col min="3339" max="3339" width="18.7109375" style="2" bestFit="1" customWidth="1"/>
    <col min="3340" max="3340" width="19.42578125" style="2" bestFit="1" customWidth="1"/>
    <col min="3341" max="3341" width="0.5703125" style="2" customWidth="1"/>
    <col min="3342" max="3343" width="18.7109375" style="2" bestFit="1" customWidth="1"/>
    <col min="3344" max="3344" width="16.5703125" style="2" customWidth="1"/>
    <col min="3345" max="3345" width="0.7109375" style="2" customWidth="1"/>
    <col min="3346" max="3347" width="19.85546875" style="2" bestFit="1" customWidth="1"/>
    <col min="3348" max="3348" width="18.7109375" style="2" bestFit="1" customWidth="1"/>
    <col min="3349" max="3349" width="14.5703125" style="2" customWidth="1"/>
    <col min="3350" max="3350" width="9.140625" style="2"/>
    <col min="3351" max="3351" width="13.140625" style="2" bestFit="1" customWidth="1"/>
    <col min="3352" max="3584" width="9.140625" style="2"/>
    <col min="3585" max="3588" width="2.7109375" style="2" customWidth="1"/>
    <col min="3589" max="3589" width="50.5703125" style="2" customWidth="1"/>
    <col min="3590" max="3591" width="19.28515625" style="2" customWidth="1"/>
    <col min="3592" max="3592" width="18.5703125" style="2" customWidth="1"/>
    <col min="3593" max="3593" width="0.7109375" style="2" customWidth="1"/>
    <col min="3594" max="3594" width="24" style="2" bestFit="1" customWidth="1"/>
    <col min="3595" max="3595" width="18.7109375" style="2" bestFit="1" customWidth="1"/>
    <col min="3596" max="3596" width="19.42578125" style="2" bestFit="1" customWidth="1"/>
    <col min="3597" max="3597" width="0.5703125" style="2" customWidth="1"/>
    <col min="3598" max="3599" width="18.7109375" style="2" bestFit="1" customWidth="1"/>
    <col min="3600" max="3600" width="16.5703125" style="2" customWidth="1"/>
    <col min="3601" max="3601" width="0.7109375" style="2" customWidth="1"/>
    <col min="3602" max="3603" width="19.85546875" style="2" bestFit="1" customWidth="1"/>
    <col min="3604" max="3604" width="18.7109375" style="2" bestFit="1" customWidth="1"/>
    <col min="3605" max="3605" width="14.5703125" style="2" customWidth="1"/>
    <col min="3606" max="3606" width="9.140625" style="2"/>
    <col min="3607" max="3607" width="13.140625" style="2" bestFit="1" customWidth="1"/>
    <col min="3608" max="3840" width="9.140625" style="2"/>
    <col min="3841" max="3844" width="2.7109375" style="2" customWidth="1"/>
    <col min="3845" max="3845" width="50.5703125" style="2" customWidth="1"/>
    <col min="3846" max="3847" width="19.28515625" style="2" customWidth="1"/>
    <col min="3848" max="3848" width="18.5703125" style="2" customWidth="1"/>
    <col min="3849" max="3849" width="0.7109375" style="2" customWidth="1"/>
    <col min="3850" max="3850" width="24" style="2" bestFit="1" customWidth="1"/>
    <col min="3851" max="3851" width="18.7109375" style="2" bestFit="1" customWidth="1"/>
    <col min="3852" max="3852" width="19.42578125" style="2" bestFit="1" customWidth="1"/>
    <col min="3853" max="3853" width="0.5703125" style="2" customWidth="1"/>
    <col min="3854" max="3855" width="18.7109375" style="2" bestFit="1" customWidth="1"/>
    <col min="3856" max="3856" width="16.5703125" style="2" customWidth="1"/>
    <col min="3857" max="3857" width="0.7109375" style="2" customWidth="1"/>
    <col min="3858" max="3859" width="19.85546875" style="2" bestFit="1" customWidth="1"/>
    <col min="3860" max="3860" width="18.7109375" style="2" bestFit="1" customWidth="1"/>
    <col min="3861" max="3861" width="14.5703125" style="2" customWidth="1"/>
    <col min="3862" max="3862" width="9.140625" style="2"/>
    <col min="3863" max="3863" width="13.140625" style="2" bestFit="1" customWidth="1"/>
    <col min="3864" max="4096" width="9.140625" style="2"/>
    <col min="4097" max="4100" width="2.7109375" style="2" customWidth="1"/>
    <col min="4101" max="4101" width="50.5703125" style="2" customWidth="1"/>
    <col min="4102" max="4103" width="19.28515625" style="2" customWidth="1"/>
    <col min="4104" max="4104" width="18.5703125" style="2" customWidth="1"/>
    <col min="4105" max="4105" width="0.7109375" style="2" customWidth="1"/>
    <col min="4106" max="4106" width="24" style="2" bestFit="1" customWidth="1"/>
    <col min="4107" max="4107" width="18.7109375" style="2" bestFit="1" customWidth="1"/>
    <col min="4108" max="4108" width="19.42578125" style="2" bestFit="1" customWidth="1"/>
    <col min="4109" max="4109" width="0.5703125" style="2" customWidth="1"/>
    <col min="4110" max="4111" width="18.7109375" style="2" bestFit="1" customWidth="1"/>
    <col min="4112" max="4112" width="16.5703125" style="2" customWidth="1"/>
    <col min="4113" max="4113" width="0.7109375" style="2" customWidth="1"/>
    <col min="4114" max="4115" width="19.85546875" style="2" bestFit="1" customWidth="1"/>
    <col min="4116" max="4116" width="18.7109375" style="2" bestFit="1" customWidth="1"/>
    <col min="4117" max="4117" width="14.5703125" style="2" customWidth="1"/>
    <col min="4118" max="4118" width="9.140625" style="2"/>
    <col min="4119" max="4119" width="13.140625" style="2" bestFit="1" customWidth="1"/>
    <col min="4120" max="4352" width="9.140625" style="2"/>
    <col min="4353" max="4356" width="2.7109375" style="2" customWidth="1"/>
    <col min="4357" max="4357" width="50.5703125" style="2" customWidth="1"/>
    <col min="4358" max="4359" width="19.28515625" style="2" customWidth="1"/>
    <col min="4360" max="4360" width="18.5703125" style="2" customWidth="1"/>
    <col min="4361" max="4361" width="0.7109375" style="2" customWidth="1"/>
    <col min="4362" max="4362" width="24" style="2" bestFit="1" customWidth="1"/>
    <col min="4363" max="4363" width="18.7109375" style="2" bestFit="1" customWidth="1"/>
    <col min="4364" max="4364" width="19.42578125" style="2" bestFit="1" customWidth="1"/>
    <col min="4365" max="4365" width="0.5703125" style="2" customWidth="1"/>
    <col min="4366" max="4367" width="18.7109375" style="2" bestFit="1" customWidth="1"/>
    <col min="4368" max="4368" width="16.5703125" style="2" customWidth="1"/>
    <col min="4369" max="4369" width="0.7109375" style="2" customWidth="1"/>
    <col min="4370" max="4371" width="19.85546875" style="2" bestFit="1" customWidth="1"/>
    <col min="4372" max="4372" width="18.7109375" style="2" bestFit="1" customWidth="1"/>
    <col min="4373" max="4373" width="14.5703125" style="2" customWidth="1"/>
    <col min="4374" max="4374" width="9.140625" style="2"/>
    <col min="4375" max="4375" width="13.140625" style="2" bestFit="1" customWidth="1"/>
    <col min="4376" max="4608" width="9.140625" style="2"/>
    <col min="4609" max="4612" width="2.7109375" style="2" customWidth="1"/>
    <col min="4613" max="4613" width="50.5703125" style="2" customWidth="1"/>
    <col min="4614" max="4615" width="19.28515625" style="2" customWidth="1"/>
    <col min="4616" max="4616" width="18.5703125" style="2" customWidth="1"/>
    <col min="4617" max="4617" width="0.7109375" style="2" customWidth="1"/>
    <col min="4618" max="4618" width="24" style="2" bestFit="1" customWidth="1"/>
    <col min="4619" max="4619" width="18.7109375" style="2" bestFit="1" customWidth="1"/>
    <col min="4620" max="4620" width="19.42578125" style="2" bestFit="1" customWidth="1"/>
    <col min="4621" max="4621" width="0.5703125" style="2" customWidth="1"/>
    <col min="4622" max="4623" width="18.7109375" style="2" bestFit="1" customWidth="1"/>
    <col min="4624" max="4624" width="16.5703125" style="2" customWidth="1"/>
    <col min="4625" max="4625" width="0.7109375" style="2" customWidth="1"/>
    <col min="4626" max="4627" width="19.85546875" style="2" bestFit="1" customWidth="1"/>
    <col min="4628" max="4628" width="18.7109375" style="2" bestFit="1" customWidth="1"/>
    <col min="4629" max="4629" width="14.5703125" style="2" customWidth="1"/>
    <col min="4630" max="4630" width="9.140625" style="2"/>
    <col min="4631" max="4631" width="13.140625" style="2" bestFit="1" customWidth="1"/>
    <col min="4632" max="4864" width="9.140625" style="2"/>
    <col min="4865" max="4868" width="2.7109375" style="2" customWidth="1"/>
    <col min="4869" max="4869" width="50.5703125" style="2" customWidth="1"/>
    <col min="4870" max="4871" width="19.28515625" style="2" customWidth="1"/>
    <col min="4872" max="4872" width="18.5703125" style="2" customWidth="1"/>
    <col min="4873" max="4873" width="0.7109375" style="2" customWidth="1"/>
    <col min="4874" max="4874" width="24" style="2" bestFit="1" customWidth="1"/>
    <col min="4875" max="4875" width="18.7109375" style="2" bestFit="1" customWidth="1"/>
    <col min="4876" max="4876" width="19.42578125" style="2" bestFit="1" customWidth="1"/>
    <col min="4877" max="4877" width="0.5703125" style="2" customWidth="1"/>
    <col min="4878" max="4879" width="18.7109375" style="2" bestFit="1" customWidth="1"/>
    <col min="4880" max="4880" width="16.5703125" style="2" customWidth="1"/>
    <col min="4881" max="4881" width="0.7109375" style="2" customWidth="1"/>
    <col min="4882" max="4883" width="19.85546875" style="2" bestFit="1" customWidth="1"/>
    <col min="4884" max="4884" width="18.7109375" style="2" bestFit="1" customWidth="1"/>
    <col min="4885" max="4885" width="14.5703125" style="2" customWidth="1"/>
    <col min="4886" max="4886" width="9.140625" style="2"/>
    <col min="4887" max="4887" width="13.140625" style="2" bestFit="1" customWidth="1"/>
    <col min="4888" max="5120" width="9.140625" style="2"/>
    <col min="5121" max="5124" width="2.7109375" style="2" customWidth="1"/>
    <col min="5125" max="5125" width="50.5703125" style="2" customWidth="1"/>
    <col min="5126" max="5127" width="19.28515625" style="2" customWidth="1"/>
    <col min="5128" max="5128" width="18.5703125" style="2" customWidth="1"/>
    <col min="5129" max="5129" width="0.7109375" style="2" customWidth="1"/>
    <col min="5130" max="5130" width="24" style="2" bestFit="1" customWidth="1"/>
    <col min="5131" max="5131" width="18.7109375" style="2" bestFit="1" customWidth="1"/>
    <col min="5132" max="5132" width="19.42578125" style="2" bestFit="1" customWidth="1"/>
    <col min="5133" max="5133" width="0.5703125" style="2" customWidth="1"/>
    <col min="5134" max="5135" width="18.7109375" style="2" bestFit="1" customWidth="1"/>
    <col min="5136" max="5136" width="16.5703125" style="2" customWidth="1"/>
    <col min="5137" max="5137" width="0.7109375" style="2" customWidth="1"/>
    <col min="5138" max="5139" width="19.85546875" style="2" bestFit="1" customWidth="1"/>
    <col min="5140" max="5140" width="18.7109375" style="2" bestFit="1" customWidth="1"/>
    <col min="5141" max="5141" width="14.5703125" style="2" customWidth="1"/>
    <col min="5142" max="5142" width="9.140625" style="2"/>
    <col min="5143" max="5143" width="13.140625" style="2" bestFit="1" customWidth="1"/>
    <col min="5144" max="5376" width="9.140625" style="2"/>
    <col min="5377" max="5380" width="2.7109375" style="2" customWidth="1"/>
    <col min="5381" max="5381" width="50.5703125" style="2" customWidth="1"/>
    <col min="5382" max="5383" width="19.28515625" style="2" customWidth="1"/>
    <col min="5384" max="5384" width="18.5703125" style="2" customWidth="1"/>
    <col min="5385" max="5385" width="0.7109375" style="2" customWidth="1"/>
    <col min="5386" max="5386" width="24" style="2" bestFit="1" customWidth="1"/>
    <col min="5387" max="5387" width="18.7109375" style="2" bestFit="1" customWidth="1"/>
    <col min="5388" max="5388" width="19.42578125" style="2" bestFit="1" customWidth="1"/>
    <col min="5389" max="5389" width="0.5703125" style="2" customWidth="1"/>
    <col min="5390" max="5391" width="18.7109375" style="2" bestFit="1" customWidth="1"/>
    <col min="5392" max="5392" width="16.5703125" style="2" customWidth="1"/>
    <col min="5393" max="5393" width="0.7109375" style="2" customWidth="1"/>
    <col min="5394" max="5395" width="19.85546875" style="2" bestFit="1" customWidth="1"/>
    <col min="5396" max="5396" width="18.7109375" style="2" bestFit="1" customWidth="1"/>
    <col min="5397" max="5397" width="14.5703125" style="2" customWidth="1"/>
    <col min="5398" max="5398" width="9.140625" style="2"/>
    <col min="5399" max="5399" width="13.140625" style="2" bestFit="1" customWidth="1"/>
    <col min="5400" max="5632" width="9.140625" style="2"/>
    <col min="5633" max="5636" width="2.7109375" style="2" customWidth="1"/>
    <col min="5637" max="5637" width="50.5703125" style="2" customWidth="1"/>
    <col min="5638" max="5639" width="19.28515625" style="2" customWidth="1"/>
    <col min="5640" max="5640" width="18.5703125" style="2" customWidth="1"/>
    <col min="5641" max="5641" width="0.7109375" style="2" customWidth="1"/>
    <col min="5642" max="5642" width="24" style="2" bestFit="1" customWidth="1"/>
    <col min="5643" max="5643" width="18.7109375" style="2" bestFit="1" customWidth="1"/>
    <col min="5644" max="5644" width="19.42578125" style="2" bestFit="1" customWidth="1"/>
    <col min="5645" max="5645" width="0.5703125" style="2" customWidth="1"/>
    <col min="5646" max="5647" width="18.7109375" style="2" bestFit="1" customWidth="1"/>
    <col min="5648" max="5648" width="16.5703125" style="2" customWidth="1"/>
    <col min="5649" max="5649" width="0.7109375" style="2" customWidth="1"/>
    <col min="5650" max="5651" width="19.85546875" style="2" bestFit="1" customWidth="1"/>
    <col min="5652" max="5652" width="18.7109375" style="2" bestFit="1" customWidth="1"/>
    <col min="5653" max="5653" width="14.5703125" style="2" customWidth="1"/>
    <col min="5654" max="5654" width="9.140625" style="2"/>
    <col min="5655" max="5655" width="13.140625" style="2" bestFit="1" customWidth="1"/>
    <col min="5656" max="5888" width="9.140625" style="2"/>
    <col min="5889" max="5892" width="2.7109375" style="2" customWidth="1"/>
    <col min="5893" max="5893" width="50.5703125" style="2" customWidth="1"/>
    <col min="5894" max="5895" width="19.28515625" style="2" customWidth="1"/>
    <col min="5896" max="5896" width="18.5703125" style="2" customWidth="1"/>
    <col min="5897" max="5897" width="0.7109375" style="2" customWidth="1"/>
    <col min="5898" max="5898" width="24" style="2" bestFit="1" customWidth="1"/>
    <col min="5899" max="5899" width="18.7109375" style="2" bestFit="1" customWidth="1"/>
    <col min="5900" max="5900" width="19.42578125" style="2" bestFit="1" customWidth="1"/>
    <col min="5901" max="5901" width="0.5703125" style="2" customWidth="1"/>
    <col min="5902" max="5903" width="18.7109375" style="2" bestFit="1" customWidth="1"/>
    <col min="5904" max="5904" width="16.5703125" style="2" customWidth="1"/>
    <col min="5905" max="5905" width="0.7109375" style="2" customWidth="1"/>
    <col min="5906" max="5907" width="19.85546875" style="2" bestFit="1" customWidth="1"/>
    <col min="5908" max="5908" width="18.7109375" style="2" bestFit="1" customWidth="1"/>
    <col min="5909" max="5909" width="14.5703125" style="2" customWidth="1"/>
    <col min="5910" max="5910" width="9.140625" style="2"/>
    <col min="5911" max="5911" width="13.140625" style="2" bestFit="1" customWidth="1"/>
    <col min="5912" max="6144" width="9.140625" style="2"/>
    <col min="6145" max="6148" width="2.7109375" style="2" customWidth="1"/>
    <col min="6149" max="6149" width="50.5703125" style="2" customWidth="1"/>
    <col min="6150" max="6151" width="19.28515625" style="2" customWidth="1"/>
    <col min="6152" max="6152" width="18.5703125" style="2" customWidth="1"/>
    <col min="6153" max="6153" width="0.7109375" style="2" customWidth="1"/>
    <col min="6154" max="6154" width="24" style="2" bestFit="1" customWidth="1"/>
    <col min="6155" max="6155" width="18.7109375" style="2" bestFit="1" customWidth="1"/>
    <col min="6156" max="6156" width="19.42578125" style="2" bestFit="1" customWidth="1"/>
    <col min="6157" max="6157" width="0.5703125" style="2" customWidth="1"/>
    <col min="6158" max="6159" width="18.7109375" style="2" bestFit="1" customWidth="1"/>
    <col min="6160" max="6160" width="16.5703125" style="2" customWidth="1"/>
    <col min="6161" max="6161" width="0.7109375" style="2" customWidth="1"/>
    <col min="6162" max="6163" width="19.85546875" style="2" bestFit="1" customWidth="1"/>
    <col min="6164" max="6164" width="18.7109375" style="2" bestFit="1" customWidth="1"/>
    <col min="6165" max="6165" width="14.5703125" style="2" customWidth="1"/>
    <col min="6166" max="6166" width="9.140625" style="2"/>
    <col min="6167" max="6167" width="13.140625" style="2" bestFit="1" customWidth="1"/>
    <col min="6168" max="6400" width="9.140625" style="2"/>
    <col min="6401" max="6404" width="2.7109375" style="2" customWidth="1"/>
    <col min="6405" max="6405" width="50.5703125" style="2" customWidth="1"/>
    <col min="6406" max="6407" width="19.28515625" style="2" customWidth="1"/>
    <col min="6408" max="6408" width="18.5703125" style="2" customWidth="1"/>
    <col min="6409" max="6409" width="0.7109375" style="2" customWidth="1"/>
    <col min="6410" max="6410" width="24" style="2" bestFit="1" customWidth="1"/>
    <col min="6411" max="6411" width="18.7109375" style="2" bestFit="1" customWidth="1"/>
    <col min="6412" max="6412" width="19.42578125" style="2" bestFit="1" customWidth="1"/>
    <col min="6413" max="6413" width="0.5703125" style="2" customWidth="1"/>
    <col min="6414" max="6415" width="18.7109375" style="2" bestFit="1" customWidth="1"/>
    <col min="6416" max="6416" width="16.5703125" style="2" customWidth="1"/>
    <col min="6417" max="6417" width="0.7109375" style="2" customWidth="1"/>
    <col min="6418" max="6419" width="19.85546875" style="2" bestFit="1" customWidth="1"/>
    <col min="6420" max="6420" width="18.7109375" style="2" bestFit="1" customWidth="1"/>
    <col min="6421" max="6421" width="14.5703125" style="2" customWidth="1"/>
    <col min="6422" max="6422" width="9.140625" style="2"/>
    <col min="6423" max="6423" width="13.140625" style="2" bestFit="1" customWidth="1"/>
    <col min="6424" max="6656" width="9.140625" style="2"/>
    <col min="6657" max="6660" width="2.7109375" style="2" customWidth="1"/>
    <col min="6661" max="6661" width="50.5703125" style="2" customWidth="1"/>
    <col min="6662" max="6663" width="19.28515625" style="2" customWidth="1"/>
    <col min="6664" max="6664" width="18.5703125" style="2" customWidth="1"/>
    <col min="6665" max="6665" width="0.7109375" style="2" customWidth="1"/>
    <col min="6666" max="6666" width="24" style="2" bestFit="1" customWidth="1"/>
    <col min="6667" max="6667" width="18.7109375" style="2" bestFit="1" customWidth="1"/>
    <col min="6668" max="6668" width="19.42578125" style="2" bestFit="1" customWidth="1"/>
    <col min="6669" max="6669" width="0.5703125" style="2" customWidth="1"/>
    <col min="6670" max="6671" width="18.7109375" style="2" bestFit="1" customWidth="1"/>
    <col min="6672" max="6672" width="16.5703125" style="2" customWidth="1"/>
    <col min="6673" max="6673" width="0.7109375" style="2" customWidth="1"/>
    <col min="6674" max="6675" width="19.85546875" style="2" bestFit="1" customWidth="1"/>
    <col min="6676" max="6676" width="18.7109375" style="2" bestFit="1" customWidth="1"/>
    <col min="6677" max="6677" width="14.5703125" style="2" customWidth="1"/>
    <col min="6678" max="6678" width="9.140625" style="2"/>
    <col min="6679" max="6679" width="13.140625" style="2" bestFit="1" customWidth="1"/>
    <col min="6680" max="6912" width="9.140625" style="2"/>
    <col min="6913" max="6916" width="2.7109375" style="2" customWidth="1"/>
    <col min="6917" max="6917" width="50.5703125" style="2" customWidth="1"/>
    <col min="6918" max="6919" width="19.28515625" style="2" customWidth="1"/>
    <col min="6920" max="6920" width="18.5703125" style="2" customWidth="1"/>
    <col min="6921" max="6921" width="0.7109375" style="2" customWidth="1"/>
    <col min="6922" max="6922" width="24" style="2" bestFit="1" customWidth="1"/>
    <col min="6923" max="6923" width="18.7109375" style="2" bestFit="1" customWidth="1"/>
    <col min="6924" max="6924" width="19.42578125" style="2" bestFit="1" customWidth="1"/>
    <col min="6925" max="6925" width="0.5703125" style="2" customWidth="1"/>
    <col min="6926" max="6927" width="18.7109375" style="2" bestFit="1" customWidth="1"/>
    <col min="6928" max="6928" width="16.5703125" style="2" customWidth="1"/>
    <col min="6929" max="6929" width="0.7109375" style="2" customWidth="1"/>
    <col min="6930" max="6931" width="19.85546875" style="2" bestFit="1" customWidth="1"/>
    <col min="6932" max="6932" width="18.7109375" style="2" bestFit="1" customWidth="1"/>
    <col min="6933" max="6933" width="14.5703125" style="2" customWidth="1"/>
    <col min="6934" max="6934" width="9.140625" style="2"/>
    <col min="6935" max="6935" width="13.140625" style="2" bestFit="1" customWidth="1"/>
    <col min="6936" max="7168" width="9.140625" style="2"/>
    <col min="7169" max="7172" width="2.7109375" style="2" customWidth="1"/>
    <col min="7173" max="7173" width="50.5703125" style="2" customWidth="1"/>
    <col min="7174" max="7175" width="19.28515625" style="2" customWidth="1"/>
    <col min="7176" max="7176" width="18.5703125" style="2" customWidth="1"/>
    <col min="7177" max="7177" width="0.7109375" style="2" customWidth="1"/>
    <col min="7178" max="7178" width="24" style="2" bestFit="1" customWidth="1"/>
    <col min="7179" max="7179" width="18.7109375" style="2" bestFit="1" customWidth="1"/>
    <col min="7180" max="7180" width="19.42578125" style="2" bestFit="1" customWidth="1"/>
    <col min="7181" max="7181" width="0.5703125" style="2" customWidth="1"/>
    <col min="7182" max="7183" width="18.7109375" style="2" bestFit="1" customWidth="1"/>
    <col min="7184" max="7184" width="16.5703125" style="2" customWidth="1"/>
    <col min="7185" max="7185" width="0.7109375" style="2" customWidth="1"/>
    <col min="7186" max="7187" width="19.85546875" style="2" bestFit="1" customWidth="1"/>
    <col min="7188" max="7188" width="18.7109375" style="2" bestFit="1" customWidth="1"/>
    <col min="7189" max="7189" width="14.5703125" style="2" customWidth="1"/>
    <col min="7190" max="7190" width="9.140625" style="2"/>
    <col min="7191" max="7191" width="13.140625" style="2" bestFit="1" customWidth="1"/>
    <col min="7192" max="7424" width="9.140625" style="2"/>
    <col min="7425" max="7428" width="2.7109375" style="2" customWidth="1"/>
    <col min="7429" max="7429" width="50.5703125" style="2" customWidth="1"/>
    <col min="7430" max="7431" width="19.28515625" style="2" customWidth="1"/>
    <col min="7432" max="7432" width="18.5703125" style="2" customWidth="1"/>
    <col min="7433" max="7433" width="0.7109375" style="2" customWidth="1"/>
    <col min="7434" max="7434" width="24" style="2" bestFit="1" customWidth="1"/>
    <col min="7435" max="7435" width="18.7109375" style="2" bestFit="1" customWidth="1"/>
    <col min="7436" max="7436" width="19.42578125" style="2" bestFit="1" customWidth="1"/>
    <col min="7437" max="7437" width="0.5703125" style="2" customWidth="1"/>
    <col min="7438" max="7439" width="18.7109375" style="2" bestFit="1" customWidth="1"/>
    <col min="7440" max="7440" width="16.5703125" style="2" customWidth="1"/>
    <col min="7441" max="7441" width="0.7109375" style="2" customWidth="1"/>
    <col min="7442" max="7443" width="19.85546875" style="2" bestFit="1" customWidth="1"/>
    <col min="7444" max="7444" width="18.7109375" style="2" bestFit="1" customWidth="1"/>
    <col min="7445" max="7445" width="14.5703125" style="2" customWidth="1"/>
    <col min="7446" max="7446" width="9.140625" style="2"/>
    <col min="7447" max="7447" width="13.140625" style="2" bestFit="1" customWidth="1"/>
    <col min="7448" max="7680" width="9.140625" style="2"/>
    <col min="7681" max="7684" width="2.7109375" style="2" customWidth="1"/>
    <col min="7685" max="7685" width="50.5703125" style="2" customWidth="1"/>
    <col min="7686" max="7687" width="19.28515625" style="2" customWidth="1"/>
    <col min="7688" max="7688" width="18.5703125" style="2" customWidth="1"/>
    <col min="7689" max="7689" width="0.7109375" style="2" customWidth="1"/>
    <col min="7690" max="7690" width="24" style="2" bestFit="1" customWidth="1"/>
    <col min="7691" max="7691" width="18.7109375" style="2" bestFit="1" customWidth="1"/>
    <col min="7692" max="7692" width="19.42578125" style="2" bestFit="1" customWidth="1"/>
    <col min="7693" max="7693" width="0.5703125" style="2" customWidth="1"/>
    <col min="7694" max="7695" width="18.7109375" style="2" bestFit="1" customWidth="1"/>
    <col min="7696" max="7696" width="16.5703125" style="2" customWidth="1"/>
    <col min="7697" max="7697" width="0.7109375" style="2" customWidth="1"/>
    <col min="7698" max="7699" width="19.85546875" style="2" bestFit="1" customWidth="1"/>
    <col min="7700" max="7700" width="18.7109375" style="2" bestFit="1" customWidth="1"/>
    <col min="7701" max="7701" width="14.5703125" style="2" customWidth="1"/>
    <col min="7702" max="7702" width="9.140625" style="2"/>
    <col min="7703" max="7703" width="13.140625" style="2" bestFit="1" customWidth="1"/>
    <col min="7704" max="7936" width="9.140625" style="2"/>
    <col min="7937" max="7940" width="2.7109375" style="2" customWidth="1"/>
    <col min="7941" max="7941" width="50.5703125" style="2" customWidth="1"/>
    <col min="7942" max="7943" width="19.28515625" style="2" customWidth="1"/>
    <col min="7944" max="7944" width="18.5703125" style="2" customWidth="1"/>
    <col min="7945" max="7945" width="0.7109375" style="2" customWidth="1"/>
    <col min="7946" max="7946" width="24" style="2" bestFit="1" customWidth="1"/>
    <col min="7947" max="7947" width="18.7109375" style="2" bestFit="1" customWidth="1"/>
    <col min="7948" max="7948" width="19.42578125" style="2" bestFit="1" customWidth="1"/>
    <col min="7949" max="7949" width="0.5703125" style="2" customWidth="1"/>
    <col min="7950" max="7951" width="18.7109375" style="2" bestFit="1" customWidth="1"/>
    <col min="7952" max="7952" width="16.5703125" style="2" customWidth="1"/>
    <col min="7953" max="7953" width="0.7109375" style="2" customWidth="1"/>
    <col min="7954" max="7955" width="19.85546875" style="2" bestFit="1" customWidth="1"/>
    <col min="7956" max="7956" width="18.7109375" style="2" bestFit="1" customWidth="1"/>
    <col min="7957" max="7957" width="14.5703125" style="2" customWidth="1"/>
    <col min="7958" max="7958" width="9.140625" style="2"/>
    <col min="7959" max="7959" width="13.140625" style="2" bestFit="1" customWidth="1"/>
    <col min="7960" max="8192" width="9.140625" style="2"/>
    <col min="8193" max="8196" width="2.7109375" style="2" customWidth="1"/>
    <col min="8197" max="8197" width="50.5703125" style="2" customWidth="1"/>
    <col min="8198" max="8199" width="19.28515625" style="2" customWidth="1"/>
    <col min="8200" max="8200" width="18.5703125" style="2" customWidth="1"/>
    <col min="8201" max="8201" width="0.7109375" style="2" customWidth="1"/>
    <col min="8202" max="8202" width="24" style="2" bestFit="1" customWidth="1"/>
    <col min="8203" max="8203" width="18.7109375" style="2" bestFit="1" customWidth="1"/>
    <col min="8204" max="8204" width="19.42578125" style="2" bestFit="1" customWidth="1"/>
    <col min="8205" max="8205" width="0.5703125" style="2" customWidth="1"/>
    <col min="8206" max="8207" width="18.7109375" style="2" bestFit="1" customWidth="1"/>
    <col min="8208" max="8208" width="16.5703125" style="2" customWidth="1"/>
    <col min="8209" max="8209" width="0.7109375" style="2" customWidth="1"/>
    <col min="8210" max="8211" width="19.85546875" style="2" bestFit="1" customWidth="1"/>
    <col min="8212" max="8212" width="18.7109375" style="2" bestFit="1" customWidth="1"/>
    <col min="8213" max="8213" width="14.5703125" style="2" customWidth="1"/>
    <col min="8214" max="8214" width="9.140625" style="2"/>
    <col min="8215" max="8215" width="13.140625" style="2" bestFit="1" customWidth="1"/>
    <col min="8216" max="8448" width="9.140625" style="2"/>
    <col min="8449" max="8452" width="2.7109375" style="2" customWidth="1"/>
    <col min="8453" max="8453" width="50.5703125" style="2" customWidth="1"/>
    <col min="8454" max="8455" width="19.28515625" style="2" customWidth="1"/>
    <col min="8456" max="8456" width="18.5703125" style="2" customWidth="1"/>
    <col min="8457" max="8457" width="0.7109375" style="2" customWidth="1"/>
    <col min="8458" max="8458" width="24" style="2" bestFit="1" customWidth="1"/>
    <col min="8459" max="8459" width="18.7109375" style="2" bestFit="1" customWidth="1"/>
    <col min="8460" max="8460" width="19.42578125" style="2" bestFit="1" customWidth="1"/>
    <col min="8461" max="8461" width="0.5703125" style="2" customWidth="1"/>
    <col min="8462" max="8463" width="18.7109375" style="2" bestFit="1" customWidth="1"/>
    <col min="8464" max="8464" width="16.5703125" style="2" customWidth="1"/>
    <col min="8465" max="8465" width="0.7109375" style="2" customWidth="1"/>
    <col min="8466" max="8467" width="19.85546875" style="2" bestFit="1" customWidth="1"/>
    <col min="8468" max="8468" width="18.7109375" style="2" bestFit="1" customWidth="1"/>
    <col min="8469" max="8469" width="14.5703125" style="2" customWidth="1"/>
    <col min="8470" max="8470" width="9.140625" style="2"/>
    <col min="8471" max="8471" width="13.140625" style="2" bestFit="1" customWidth="1"/>
    <col min="8472" max="8704" width="9.140625" style="2"/>
    <col min="8705" max="8708" width="2.7109375" style="2" customWidth="1"/>
    <col min="8709" max="8709" width="50.5703125" style="2" customWidth="1"/>
    <col min="8710" max="8711" width="19.28515625" style="2" customWidth="1"/>
    <col min="8712" max="8712" width="18.5703125" style="2" customWidth="1"/>
    <col min="8713" max="8713" width="0.7109375" style="2" customWidth="1"/>
    <col min="8714" max="8714" width="24" style="2" bestFit="1" customWidth="1"/>
    <col min="8715" max="8715" width="18.7109375" style="2" bestFit="1" customWidth="1"/>
    <col min="8716" max="8716" width="19.42578125" style="2" bestFit="1" customWidth="1"/>
    <col min="8717" max="8717" width="0.5703125" style="2" customWidth="1"/>
    <col min="8718" max="8719" width="18.7109375" style="2" bestFit="1" customWidth="1"/>
    <col min="8720" max="8720" width="16.5703125" style="2" customWidth="1"/>
    <col min="8721" max="8721" width="0.7109375" style="2" customWidth="1"/>
    <col min="8722" max="8723" width="19.85546875" style="2" bestFit="1" customWidth="1"/>
    <col min="8724" max="8724" width="18.7109375" style="2" bestFit="1" customWidth="1"/>
    <col min="8725" max="8725" width="14.5703125" style="2" customWidth="1"/>
    <col min="8726" max="8726" width="9.140625" style="2"/>
    <col min="8727" max="8727" width="13.140625" style="2" bestFit="1" customWidth="1"/>
    <col min="8728" max="8960" width="9.140625" style="2"/>
    <col min="8961" max="8964" width="2.7109375" style="2" customWidth="1"/>
    <col min="8965" max="8965" width="50.5703125" style="2" customWidth="1"/>
    <col min="8966" max="8967" width="19.28515625" style="2" customWidth="1"/>
    <col min="8968" max="8968" width="18.5703125" style="2" customWidth="1"/>
    <col min="8969" max="8969" width="0.7109375" style="2" customWidth="1"/>
    <col min="8970" max="8970" width="24" style="2" bestFit="1" customWidth="1"/>
    <col min="8971" max="8971" width="18.7109375" style="2" bestFit="1" customWidth="1"/>
    <col min="8972" max="8972" width="19.42578125" style="2" bestFit="1" customWidth="1"/>
    <col min="8973" max="8973" width="0.5703125" style="2" customWidth="1"/>
    <col min="8974" max="8975" width="18.7109375" style="2" bestFit="1" customWidth="1"/>
    <col min="8976" max="8976" width="16.5703125" style="2" customWidth="1"/>
    <col min="8977" max="8977" width="0.7109375" style="2" customWidth="1"/>
    <col min="8978" max="8979" width="19.85546875" style="2" bestFit="1" customWidth="1"/>
    <col min="8980" max="8980" width="18.7109375" style="2" bestFit="1" customWidth="1"/>
    <col min="8981" max="8981" width="14.5703125" style="2" customWidth="1"/>
    <col min="8982" max="8982" width="9.140625" style="2"/>
    <col min="8983" max="8983" width="13.140625" style="2" bestFit="1" customWidth="1"/>
    <col min="8984" max="9216" width="9.140625" style="2"/>
    <col min="9217" max="9220" width="2.7109375" style="2" customWidth="1"/>
    <col min="9221" max="9221" width="50.5703125" style="2" customWidth="1"/>
    <col min="9222" max="9223" width="19.28515625" style="2" customWidth="1"/>
    <col min="9224" max="9224" width="18.5703125" style="2" customWidth="1"/>
    <col min="9225" max="9225" width="0.7109375" style="2" customWidth="1"/>
    <col min="9226" max="9226" width="24" style="2" bestFit="1" customWidth="1"/>
    <col min="9227" max="9227" width="18.7109375" style="2" bestFit="1" customWidth="1"/>
    <col min="9228" max="9228" width="19.42578125" style="2" bestFit="1" customWidth="1"/>
    <col min="9229" max="9229" width="0.5703125" style="2" customWidth="1"/>
    <col min="9230" max="9231" width="18.7109375" style="2" bestFit="1" customWidth="1"/>
    <col min="9232" max="9232" width="16.5703125" style="2" customWidth="1"/>
    <col min="9233" max="9233" width="0.7109375" style="2" customWidth="1"/>
    <col min="9234" max="9235" width="19.85546875" style="2" bestFit="1" customWidth="1"/>
    <col min="9236" max="9236" width="18.7109375" style="2" bestFit="1" customWidth="1"/>
    <col min="9237" max="9237" width="14.5703125" style="2" customWidth="1"/>
    <col min="9238" max="9238" width="9.140625" style="2"/>
    <col min="9239" max="9239" width="13.140625" style="2" bestFit="1" customWidth="1"/>
    <col min="9240" max="9472" width="9.140625" style="2"/>
    <col min="9473" max="9476" width="2.7109375" style="2" customWidth="1"/>
    <col min="9477" max="9477" width="50.5703125" style="2" customWidth="1"/>
    <col min="9478" max="9479" width="19.28515625" style="2" customWidth="1"/>
    <col min="9480" max="9480" width="18.5703125" style="2" customWidth="1"/>
    <col min="9481" max="9481" width="0.7109375" style="2" customWidth="1"/>
    <col min="9482" max="9482" width="24" style="2" bestFit="1" customWidth="1"/>
    <col min="9483" max="9483" width="18.7109375" style="2" bestFit="1" customWidth="1"/>
    <col min="9484" max="9484" width="19.42578125" style="2" bestFit="1" customWidth="1"/>
    <col min="9485" max="9485" width="0.5703125" style="2" customWidth="1"/>
    <col min="9486" max="9487" width="18.7109375" style="2" bestFit="1" customWidth="1"/>
    <col min="9488" max="9488" width="16.5703125" style="2" customWidth="1"/>
    <col min="9489" max="9489" width="0.7109375" style="2" customWidth="1"/>
    <col min="9490" max="9491" width="19.85546875" style="2" bestFit="1" customWidth="1"/>
    <col min="9492" max="9492" width="18.7109375" style="2" bestFit="1" customWidth="1"/>
    <col min="9493" max="9493" width="14.5703125" style="2" customWidth="1"/>
    <col min="9494" max="9494" width="9.140625" style="2"/>
    <col min="9495" max="9495" width="13.140625" style="2" bestFit="1" customWidth="1"/>
    <col min="9496" max="9728" width="9.140625" style="2"/>
    <col min="9729" max="9732" width="2.7109375" style="2" customWidth="1"/>
    <col min="9733" max="9733" width="50.5703125" style="2" customWidth="1"/>
    <col min="9734" max="9735" width="19.28515625" style="2" customWidth="1"/>
    <col min="9736" max="9736" width="18.5703125" style="2" customWidth="1"/>
    <col min="9737" max="9737" width="0.7109375" style="2" customWidth="1"/>
    <col min="9738" max="9738" width="24" style="2" bestFit="1" customWidth="1"/>
    <col min="9739" max="9739" width="18.7109375" style="2" bestFit="1" customWidth="1"/>
    <col min="9740" max="9740" width="19.42578125" style="2" bestFit="1" customWidth="1"/>
    <col min="9741" max="9741" width="0.5703125" style="2" customWidth="1"/>
    <col min="9742" max="9743" width="18.7109375" style="2" bestFit="1" customWidth="1"/>
    <col min="9744" max="9744" width="16.5703125" style="2" customWidth="1"/>
    <col min="9745" max="9745" width="0.7109375" style="2" customWidth="1"/>
    <col min="9746" max="9747" width="19.85546875" style="2" bestFit="1" customWidth="1"/>
    <col min="9748" max="9748" width="18.7109375" style="2" bestFit="1" customWidth="1"/>
    <col min="9749" max="9749" width="14.5703125" style="2" customWidth="1"/>
    <col min="9750" max="9750" width="9.140625" style="2"/>
    <col min="9751" max="9751" width="13.140625" style="2" bestFit="1" customWidth="1"/>
    <col min="9752" max="9984" width="9.140625" style="2"/>
    <col min="9985" max="9988" width="2.7109375" style="2" customWidth="1"/>
    <col min="9989" max="9989" width="50.5703125" style="2" customWidth="1"/>
    <col min="9990" max="9991" width="19.28515625" style="2" customWidth="1"/>
    <col min="9992" max="9992" width="18.5703125" style="2" customWidth="1"/>
    <col min="9993" max="9993" width="0.7109375" style="2" customWidth="1"/>
    <col min="9994" max="9994" width="24" style="2" bestFit="1" customWidth="1"/>
    <col min="9995" max="9995" width="18.7109375" style="2" bestFit="1" customWidth="1"/>
    <col min="9996" max="9996" width="19.42578125" style="2" bestFit="1" customWidth="1"/>
    <col min="9997" max="9997" width="0.5703125" style="2" customWidth="1"/>
    <col min="9998" max="9999" width="18.7109375" style="2" bestFit="1" customWidth="1"/>
    <col min="10000" max="10000" width="16.5703125" style="2" customWidth="1"/>
    <col min="10001" max="10001" width="0.7109375" style="2" customWidth="1"/>
    <col min="10002" max="10003" width="19.85546875" style="2" bestFit="1" customWidth="1"/>
    <col min="10004" max="10004" width="18.7109375" style="2" bestFit="1" customWidth="1"/>
    <col min="10005" max="10005" width="14.5703125" style="2" customWidth="1"/>
    <col min="10006" max="10006" width="9.140625" style="2"/>
    <col min="10007" max="10007" width="13.140625" style="2" bestFit="1" customWidth="1"/>
    <col min="10008" max="10240" width="9.140625" style="2"/>
    <col min="10241" max="10244" width="2.7109375" style="2" customWidth="1"/>
    <col min="10245" max="10245" width="50.5703125" style="2" customWidth="1"/>
    <col min="10246" max="10247" width="19.28515625" style="2" customWidth="1"/>
    <col min="10248" max="10248" width="18.5703125" style="2" customWidth="1"/>
    <col min="10249" max="10249" width="0.7109375" style="2" customWidth="1"/>
    <col min="10250" max="10250" width="24" style="2" bestFit="1" customWidth="1"/>
    <col min="10251" max="10251" width="18.7109375" style="2" bestFit="1" customWidth="1"/>
    <col min="10252" max="10252" width="19.42578125" style="2" bestFit="1" customWidth="1"/>
    <col min="10253" max="10253" width="0.5703125" style="2" customWidth="1"/>
    <col min="10254" max="10255" width="18.7109375" style="2" bestFit="1" customWidth="1"/>
    <col min="10256" max="10256" width="16.5703125" style="2" customWidth="1"/>
    <col min="10257" max="10257" width="0.7109375" style="2" customWidth="1"/>
    <col min="10258" max="10259" width="19.85546875" style="2" bestFit="1" customWidth="1"/>
    <col min="10260" max="10260" width="18.7109375" style="2" bestFit="1" customWidth="1"/>
    <col min="10261" max="10261" width="14.5703125" style="2" customWidth="1"/>
    <col min="10262" max="10262" width="9.140625" style="2"/>
    <col min="10263" max="10263" width="13.140625" style="2" bestFit="1" customWidth="1"/>
    <col min="10264" max="10496" width="9.140625" style="2"/>
    <col min="10497" max="10500" width="2.7109375" style="2" customWidth="1"/>
    <col min="10501" max="10501" width="50.5703125" style="2" customWidth="1"/>
    <col min="10502" max="10503" width="19.28515625" style="2" customWidth="1"/>
    <col min="10504" max="10504" width="18.5703125" style="2" customWidth="1"/>
    <col min="10505" max="10505" width="0.7109375" style="2" customWidth="1"/>
    <col min="10506" max="10506" width="24" style="2" bestFit="1" customWidth="1"/>
    <col min="10507" max="10507" width="18.7109375" style="2" bestFit="1" customWidth="1"/>
    <col min="10508" max="10508" width="19.42578125" style="2" bestFit="1" customWidth="1"/>
    <col min="10509" max="10509" width="0.5703125" style="2" customWidth="1"/>
    <col min="10510" max="10511" width="18.7109375" style="2" bestFit="1" customWidth="1"/>
    <col min="10512" max="10512" width="16.5703125" style="2" customWidth="1"/>
    <col min="10513" max="10513" width="0.7109375" style="2" customWidth="1"/>
    <col min="10514" max="10515" width="19.85546875" style="2" bestFit="1" customWidth="1"/>
    <col min="10516" max="10516" width="18.7109375" style="2" bestFit="1" customWidth="1"/>
    <col min="10517" max="10517" width="14.5703125" style="2" customWidth="1"/>
    <col min="10518" max="10518" width="9.140625" style="2"/>
    <col min="10519" max="10519" width="13.140625" style="2" bestFit="1" customWidth="1"/>
    <col min="10520" max="10752" width="9.140625" style="2"/>
    <col min="10753" max="10756" width="2.7109375" style="2" customWidth="1"/>
    <col min="10757" max="10757" width="50.5703125" style="2" customWidth="1"/>
    <col min="10758" max="10759" width="19.28515625" style="2" customWidth="1"/>
    <col min="10760" max="10760" width="18.5703125" style="2" customWidth="1"/>
    <col min="10761" max="10761" width="0.7109375" style="2" customWidth="1"/>
    <col min="10762" max="10762" width="24" style="2" bestFit="1" customWidth="1"/>
    <col min="10763" max="10763" width="18.7109375" style="2" bestFit="1" customWidth="1"/>
    <col min="10764" max="10764" width="19.42578125" style="2" bestFit="1" customWidth="1"/>
    <col min="10765" max="10765" width="0.5703125" style="2" customWidth="1"/>
    <col min="10766" max="10767" width="18.7109375" style="2" bestFit="1" customWidth="1"/>
    <col min="10768" max="10768" width="16.5703125" style="2" customWidth="1"/>
    <col min="10769" max="10769" width="0.7109375" style="2" customWidth="1"/>
    <col min="10770" max="10771" width="19.85546875" style="2" bestFit="1" customWidth="1"/>
    <col min="10772" max="10772" width="18.7109375" style="2" bestFit="1" customWidth="1"/>
    <col min="10773" max="10773" width="14.5703125" style="2" customWidth="1"/>
    <col min="10774" max="10774" width="9.140625" style="2"/>
    <col min="10775" max="10775" width="13.140625" style="2" bestFit="1" customWidth="1"/>
    <col min="10776" max="11008" width="9.140625" style="2"/>
    <col min="11009" max="11012" width="2.7109375" style="2" customWidth="1"/>
    <col min="11013" max="11013" width="50.5703125" style="2" customWidth="1"/>
    <col min="11014" max="11015" width="19.28515625" style="2" customWidth="1"/>
    <col min="11016" max="11016" width="18.5703125" style="2" customWidth="1"/>
    <col min="11017" max="11017" width="0.7109375" style="2" customWidth="1"/>
    <col min="11018" max="11018" width="24" style="2" bestFit="1" customWidth="1"/>
    <col min="11019" max="11019" width="18.7109375" style="2" bestFit="1" customWidth="1"/>
    <col min="11020" max="11020" width="19.42578125" style="2" bestFit="1" customWidth="1"/>
    <col min="11021" max="11021" width="0.5703125" style="2" customWidth="1"/>
    <col min="11022" max="11023" width="18.7109375" style="2" bestFit="1" customWidth="1"/>
    <col min="11024" max="11024" width="16.5703125" style="2" customWidth="1"/>
    <col min="11025" max="11025" width="0.7109375" style="2" customWidth="1"/>
    <col min="11026" max="11027" width="19.85546875" style="2" bestFit="1" customWidth="1"/>
    <col min="11028" max="11028" width="18.7109375" style="2" bestFit="1" customWidth="1"/>
    <col min="11029" max="11029" width="14.5703125" style="2" customWidth="1"/>
    <col min="11030" max="11030" width="9.140625" style="2"/>
    <col min="11031" max="11031" width="13.140625" style="2" bestFit="1" customWidth="1"/>
    <col min="11032" max="11264" width="9.140625" style="2"/>
    <col min="11265" max="11268" width="2.7109375" style="2" customWidth="1"/>
    <col min="11269" max="11269" width="50.5703125" style="2" customWidth="1"/>
    <col min="11270" max="11271" width="19.28515625" style="2" customWidth="1"/>
    <col min="11272" max="11272" width="18.5703125" style="2" customWidth="1"/>
    <col min="11273" max="11273" width="0.7109375" style="2" customWidth="1"/>
    <col min="11274" max="11274" width="24" style="2" bestFit="1" customWidth="1"/>
    <col min="11275" max="11275" width="18.7109375" style="2" bestFit="1" customWidth="1"/>
    <col min="11276" max="11276" width="19.42578125" style="2" bestFit="1" customWidth="1"/>
    <col min="11277" max="11277" width="0.5703125" style="2" customWidth="1"/>
    <col min="11278" max="11279" width="18.7109375" style="2" bestFit="1" customWidth="1"/>
    <col min="11280" max="11280" width="16.5703125" style="2" customWidth="1"/>
    <col min="11281" max="11281" width="0.7109375" style="2" customWidth="1"/>
    <col min="11282" max="11283" width="19.85546875" style="2" bestFit="1" customWidth="1"/>
    <col min="11284" max="11284" width="18.7109375" style="2" bestFit="1" customWidth="1"/>
    <col min="11285" max="11285" width="14.5703125" style="2" customWidth="1"/>
    <col min="11286" max="11286" width="9.140625" style="2"/>
    <col min="11287" max="11287" width="13.140625" style="2" bestFit="1" customWidth="1"/>
    <col min="11288" max="11520" width="9.140625" style="2"/>
    <col min="11521" max="11524" width="2.7109375" style="2" customWidth="1"/>
    <col min="11525" max="11525" width="50.5703125" style="2" customWidth="1"/>
    <col min="11526" max="11527" width="19.28515625" style="2" customWidth="1"/>
    <col min="11528" max="11528" width="18.5703125" style="2" customWidth="1"/>
    <col min="11529" max="11529" width="0.7109375" style="2" customWidth="1"/>
    <col min="11530" max="11530" width="24" style="2" bestFit="1" customWidth="1"/>
    <col min="11531" max="11531" width="18.7109375" style="2" bestFit="1" customWidth="1"/>
    <col min="11532" max="11532" width="19.42578125" style="2" bestFit="1" customWidth="1"/>
    <col min="11533" max="11533" width="0.5703125" style="2" customWidth="1"/>
    <col min="11534" max="11535" width="18.7109375" style="2" bestFit="1" customWidth="1"/>
    <col min="11536" max="11536" width="16.5703125" style="2" customWidth="1"/>
    <col min="11537" max="11537" width="0.7109375" style="2" customWidth="1"/>
    <col min="11538" max="11539" width="19.85546875" style="2" bestFit="1" customWidth="1"/>
    <col min="11540" max="11540" width="18.7109375" style="2" bestFit="1" customWidth="1"/>
    <col min="11541" max="11541" width="14.5703125" style="2" customWidth="1"/>
    <col min="11542" max="11542" width="9.140625" style="2"/>
    <col min="11543" max="11543" width="13.140625" style="2" bestFit="1" customWidth="1"/>
    <col min="11544" max="11776" width="9.140625" style="2"/>
    <col min="11777" max="11780" width="2.7109375" style="2" customWidth="1"/>
    <col min="11781" max="11781" width="50.5703125" style="2" customWidth="1"/>
    <col min="11782" max="11783" width="19.28515625" style="2" customWidth="1"/>
    <col min="11784" max="11784" width="18.5703125" style="2" customWidth="1"/>
    <col min="11785" max="11785" width="0.7109375" style="2" customWidth="1"/>
    <col min="11786" max="11786" width="24" style="2" bestFit="1" customWidth="1"/>
    <col min="11787" max="11787" width="18.7109375" style="2" bestFit="1" customWidth="1"/>
    <col min="11788" max="11788" width="19.42578125" style="2" bestFit="1" customWidth="1"/>
    <col min="11789" max="11789" width="0.5703125" style="2" customWidth="1"/>
    <col min="11790" max="11791" width="18.7109375" style="2" bestFit="1" customWidth="1"/>
    <col min="11792" max="11792" width="16.5703125" style="2" customWidth="1"/>
    <col min="11793" max="11793" width="0.7109375" style="2" customWidth="1"/>
    <col min="11794" max="11795" width="19.85546875" style="2" bestFit="1" customWidth="1"/>
    <col min="11796" max="11796" width="18.7109375" style="2" bestFit="1" customWidth="1"/>
    <col min="11797" max="11797" width="14.5703125" style="2" customWidth="1"/>
    <col min="11798" max="11798" width="9.140625" style="2"/>
    <col min="11799" max="11799" width="13.140625" style="2" bestFit="1" customWidth="1"/>
    <col min="11800" max="12032" width="9.140625" style="2"/>
    <col min="12033" max="12036" width="2.7109375" style="2" customWidth="1"/>
    <col min="12037" max="12037" width="50.5703125" style="2" customWidth="1"/>
    <col min="12038" max="12039" width="19.28515625" style="2" customWidth="1"/>
    <col min="12040" max="12040" width="18.5703125" style="2" customWidth="1"/>
    <col min="12041" max="12041" width="0.7109375" style="2" customWidth="1"/>
    <col min="12042" max="12042" width="24" style="2" bestFit="1" customWidth="1"/>
    <col min="12043" max="12043" width="18.7109375" style="2" bestFit="1" customWidth="1"/>
    <col min="12044" max="12044" width="19.42578125" style="2" bestFit="1" customWidth="1"/>
    <col min="12045" max="12045" width="0.5703125" style="2" customWidth="1"/>
    <col min="12046" max="12047" width="18.7109375" style="2" bestFit="1" customWidth="1"/>
    <col min="12048" max="12048" width="16.5703125" style="2" customWidth="1"/>
    <col min="12049" max="12049" width="0.7109375" style="2" customWidth="1"/>
    <col min="12050" max="12051" width="19.85546875" style="2" bestFit="1" customWidth="1"/>
    <col min="12052" max="12052" width="18.7109375" style="2" bestFit="1" customWidth="1"/>
    <col min="12053" max="12053" width="14.5703125" style="2" customWidth="1"/>
    <col min="12054" max="12054" width="9.140625" style="2"/>
    <col min="12055" max="12055" width="13.140625" style="2" bestFit="1" customWidth="1"/>
    <col min="12056" max="12288" width="9.140625" style="2"/>
    <col min="12289" max="12292" width="2.7109375" style="2" customWidth="1"/>
    <col min="12293" max="12293" width="50.5703125" style="2" customWidth="1"/>
    <col min="12294" max="12295" width="19.28515625" style="2" customWidth="1"/>
    <col min="12296" max="12296" width="18.5703125" style="2" customWidth="1"/>
    <col min="12297" max="12297" width="0.7109375" style="2" customWidth="1"/>
    <col min="12298" max="12298" width="24" style="2" bestFit="1" customWidth="1"/>
    <col min="12299" max="12299" width="18.7109375" style="2" bestFit="1" customWidth="1"/>
    <col min="12300" max="12300" width="19.42578125" style="2" bestFit="1" customWidth="1"/>
    <col min="12301" max="12301" width="0.5703125" style="2" customWidth="1"/>
    <col min="12302" max="12303" width="18.7109375" style="2" bestFit="1" customWidth="1"/>
    <col min="12304" max="12304" width="16.5703125" style="2" customWidth="1"/>
    <col min="12305" max="12305" width="0.7109375" style="2" customWidth="1"/>
    <col min="12306" max="12307" width="19.85546875" style="2" bestFit="1" customWidth="1"/>
    <col min="12308" max="12308" width="18.7109375" style="2" bestFit="1" customWidth="1"/>
    <col min="12309" max="12309" width="14.5703125" style="2" customWidth="1"/>
    <col min="12310" max="12310" width="9.140625" style="2"/>
    <col min="12311" max="12311" width="13.140625" style="2" bestFit="1" customWidth="1"/>
    <col min="12312" max="12544" width="9.140625" style="2"/>
    <col min="12545" max="12548" width="2.7109375" style="2" customWidth="1"/>
    <col min="12549" max="12549" width="50.5703125" style="2" customWidth="1"/>
    <col min="12550" max="12551" width="19.28515625" style="2" customWidth="1"/>
    <col min="12552" max="12552" width="18.5703125" style="2" customWidth="1"/>
    <col min="12553" max="12553" width="0.7109375" style="2" customWidth="1"/>
    <col min="12554" max="12554" width="24" style="2" bestFit="1" customWidth="1"/>
    <col min="12555" max="12555" width="18.7109375" style="2" bestFit="1" customWidth="1"/>
    <col min="12556" max="12556" width="19.42578125" style="2" bestFit="1" customWidth="1"/>
    <col min="12557" max="12557" width="0.5703125" style="2" customWidth="1"/>
    <col min="12558" max="12559" width="18.7109375" style="2" bestFit="1" customWidth="1"/>
    <col min="12560" max="12560" width="16.5703125" style="2" customWidth="1"/>
    <col min="12561" max="12561" width="0.7109375" style="2" customWidth="1"/>
    <col min="12562" max="12563" width="19.85546875" style="2" bestFit="1" customWidth="1"/>
    <col min="12564" max="12564" width="18.7109375" style="2" bestFit="1" customWidth="1"/>
    <col min="12565" max="12565" width="14.5703125" style="2" customWidth="1"/>
    <col min="12566" max="12566" width="9.140625" style="2"/>
    <col min="12567" max="12567" width="13.140625" style="2" bestFit="1" customWidth="1"/>
    <col min="12568" max="12800" width="9.140625" style="2"/>
    <col min="12801" max="12804" width="2.7109375" style="2" customWidth="1"/>
    <col min="12805" max="12805" width="50.5703125" style="2" customWidth="1"/>
    <col min="12806" max="12807" width="19.28515625" style="2" customWidth="1"/>
    <col min="12808" max="12808" width="18.5703125" style="2" customWidth="1"/>
    <col min="12809" max="12809" width="0.7109375" style="2" customWidth="1"/>
    <col min="12810" max="12810" width="24" style="2" bestFit="1" customWidth="1"/>
    <col min="12811" max="12811" width="18.7109375" style="2" bestFit="1" customWidth="1"/>
    <col min="12812" max="12812" width="19.42578125" style="2" bestFit="1" customWidth="1"/>
    <col min="12813" max="12813" width="0.5703125" style="2" customWidth="1"/>
    <col min="12814" max="12815" width="18.7109375" style="2" bestFit="1" customWidth="1"/>
    <col min="12816" max="12816" width="16.5703125" style="2" customWidth="1"/>
    <col min="12817" max="12817" width="0.7109375" style="2" customWidth="1"/>
    <col min="12818" max="12819" width="19.85546875" style="2" bestFit="1" customWidth="1"/>
    <col min="12820" max="12820" width="18.7109375" style="2" bestFit="1" customWidth="1"/>
    <col min="12821" max="12821" width="14.5703125" style="2" customWidth="1"/>
    <col min="12822" max="12822" width="9.140625" style="2"/>
    <col min="12823" max="12823" width="13.140625" style="2" bestFit="1" customWidth="1"/>
    <col min="12824" max="13056" width="9.140625" style="2"/>
    <col min="13057" max="13060" width="2.7109375" style="2" customWidth="1"/>
    <col min="13061" max="13061" width="50.5703125" style="2" customWidth="1"/>
    <col min="13062" max="13063" width="19.28515625" style="2" customWidth="1"/>
    <col min="13064" max="13064" width="18.5703125" style="2" customWidth="1"/>
    <col min="13065" max="13065" width="0.7109375" style="2" customWidth="1"/>
    <col min="13066" max="13066" width="24" style="2" bestFit="1" customWidth="1"/>
    <col min="13067" max="13067" width="18.7109375" style="2" bestFit="1" customWidth="1"/>
    <col min="13068" max="13068" width="19.42578125" style="2" bestFit="1" customWidth="1"/>
    <col min="13069" max="13069" width="0.5703125" style="2" customWidth="1"/>
    <col min="13070" max="13071" width="18.7109375" style="2" bestFit="1" customWidth="1"/>
    <col min="13072" max="13072" width="16.5703125" style="2" customWidth="1"/>
    <col min="13073" max="13073" width="0.7109375" style="2" customWidth="1"/>
    <col min="13074" max="13075" width="19.85546875" style="2" bestFit="1" customWidth="1"/>
    <col min="13076" max="13076" width="18.7109375" style="2" bestFit="1" customWidth="1"/>
    <col min="13077" max="13077" width="14.5703125" style="2" customWidth="1"/>
    <col min="13078" max="13078" width="9.140625" style="2"/>
    <col min="13079" max="13079" width="13.140625" style="2" bestFit="1" customWidth="1"/>
    <col min="13080" max="13312" width="9.140625" style="2"/>
    <col min="13313" max="13316" width="2.7109375" style="2" customWidth="1"/>
    <col min="13317" max="13317" width="50.5703125" style="2" customWidth="1"/>
    <col min="13318" max="13319" width="19.28515625" style="2" customWidth="1"/>
    <col min="13320" max="13320" width="18.5703125" style="2" customWidth="1"/>
    <col min="13321" max="13321" width="0.7109375" style="2" customWidth="1"/>
    <col min="13322" max="13322" width="24" style="2" bestFit="1" customWidth="1"/>
    <col min="13323" max="13323" width="18.7109375" style="2" bestFit="1" customWidth="1"/>
    <col min="13324" max="13324" width="19.42578125" style="2" bestFit="1" customWidth="1"/>
    <col min="13325" max="13325" width="0.5703125" style="2" customWidth="1"/>
    <col min="13326" max="13327" width="18.7109375" style="2" bestFit="1" customWidth="1"/>
    <col min="13328" max="13328" width="16.5703125" style="2" customWidth="1"/>
    <col min="13329" max="13329" width="0.7109375" style="2" customWidth="1"/>
    <col min="13330" max="13331" width="19.85546875" style="2" bestFit="1" customWidth="1"/>
    <col min="13332" max="13332" width="18.7109375" style="2" bestFit="1" customWidth="1"/>
    <col min="13333" max="13333" width="14.5703125" style="2" customWidth="1"/>
    <col min="13334" max="13334" width="9.140625" style="2"/>
    <col min="13335" max="13335" width="13.140625" style="2" bestFit="1" customWidth="1"/>
    <col min="13336" max="13568" width="9.140625" style="2"/>
    <col min="13569" max="13572" width="2.7109375" style="2" customWidth="1"/>
    <col min="13573" max="13573" width="50.5703125" style="2" customWidth="1"/>
    <col min="13574" max="13575" width="19.28515625" style="2" customWidth="1"/>
    <col min="13576" max="13576" width="18.5703125" style="2" customWidth="1"/>
    <col min="13577" max="13577" width="0.7109375" style="2" customWidth="1"/>
    <col min="13578" max="13578" width="24" style="2" bestFit="1" customWidth="1"/>
    <col min="13579" max="13579" width="18.7109375" style="2" bestFit="1" customWidth="1"/>
    <col min="13580" max="13580" width="19.42578125" style="2" bestFit="1" customWidth="1"/>
    <col min="13581" max="13581" width="0.5703125" style="2" customWidth="1"/>
    <col min="13582" max="13583" width="18.7109375" style="2" bestFit="1" customWidth="1"/>
    <col min="13584" max="13584" width="16.5703125" style="2" customWidth="1"/>
    <col min="13585" max="13585" width="0.7109375" style="2" customWidth="1"/>
    <col min="13586" max="13587" width="19.85546875" style="2" bestFit="1" customWidth="1"/>
    <col min="13588" max="13588" width="18.7109375" style="2" bestFit="1" customWidth="1"/>
    <col min="13589" max="13589" width="14.5703125" style="2" customWidth="1"/>
    <col min="13590" max="13590" width="9.140625" style="2"/>
    <col min="13591" max="13591" width="13.140625" style="2" bestFit="1" customWidth="1"/>
    <col min="13592" max="13824" width="9.140625" style="2"/>
    <col min="13825" max="13828" width="2.7109375" style="2" customWidth="1"/>
    <col min="13829" max="13829" width="50.5703125" style="2" customWidth="1"/>
    <col min="13830" max="13831" width="19.28515625" style="2" customWidth="1"/>
    <col min="13832" max="13832" width="18.5703125" style="2" customWidth="1"/>
    <col min="13833" max="13833" width="0.7109375" style="2" customWidth="1"/>
    <col min="13834" max="13834" width="24" style="2" bestFit="1" customWidth="1"/>
    <col min="13835" max="13835" width="18.7109375" style="2" bestFit="1" customWidth="1"/>
    <col min="13836" max="13836" width="19.42578125" style="2" bestFit="1" customWidth="1"/>
    <col min="13837" max="13837" width="0.5703125" style="2" customWidth="1"/>
    <col min="13838" max="13839" width="18.7109375" style="2" bestFit="1" customWidth="1"/>
    <col min="13840" max="13840" width="16.5703125" style="2" customWidth="1"/>
    <col min="13841" max="13841" width="0.7109375" style="2" customWidth="1"/>
    <col min="13842" max="13843" width="19.85546875" style="2" bestFit="1" customWidth="1"/>
    <col min="13844" max="13844" width="18.7109375" style="2" bestFit="1" customWidth="1"/>
    <col min="13845" max="13845" width="14.5703125" style="2" customWidth="1"/>
    <col min="13846" max="13846" width="9.140625" style="2"/>
    <col min="13847" max="13847" width="13.140625" style="2" bestFit="1" customWidth="1"/>
    <col min="13848" max="14080" width="9.140625" style="2"/>
    <col min="14081" max="14084" width="2.7109375" style="2" customWidth="1"/>
    <col min="14085" max="14085" width="50.5703125" style="2" customWidth="1"/>
    <col min="14086" max="14087" width="19.28515625" style="2" customWidth="1"/>
    <col min="14088" max="14088" width="18.5703125" style="2" customWidth="1"/>
    <col min="14089" max="14089" width="0.7109375" style="2" customWidth="1"/>
    <col min="14090" max="14090" width="24" style="2" bestFit="1" customWidth="1"/>
    <col min="14091" max="14091" width="18.7109375" style="2" bestFit="1" customWidth="1"/>
    <col min="14092" max="14092" width="19.42578125" style="2" bestFit="1" customWidth="1"/>
    <col min="14093" max="14093" width="0.5703125" style="2" customWidth="1"/>
    <col min="14094" max="14095" width="18.7109375" style="2" bestFit="1" customWidth="1"/>
    <col min="14096" max="14096" width="16.5703125" style="2" customWidth="1"/>
    <col min="14097" max="14097" width="0.7109375" style="2" customWidth="1"/>
    <col min="14098" max="14099" width="19.85546875" style="2" bestFit="1" customWidth="1"/>
    <col min="14100" max="14100" width="18.7109375" style="2" bestFit="1" customWidth="1"/>
    <col min="14101" max="14101" width="14.5703125" style="2" customWidth="1"/>
    <col min="14102" max="14102" width="9.140625" style="2"/>
    <col min="14103" max="14103" width="13.140625" style="2" bestFit="1" customWidth="1"/>
    <col min="14104" max="14336" width="9.140625" style="2"/>
    <col min="14337" max="14340" width="2.7109375" style="2" customWidth="1"/>
    <col min="14341" max="14341" width="50.5703125" style="2" customWidth="1"/>
    <col min="14342" max="14343" width="19.28515625" style="2" customWidth="1"/>
    <col min="14344" max="14344" width="18.5703125" style="2" customWidth="1"/>
    <col min="14345" max="14345" width="0.7109375" style="2" customWidth="1"/>
    <col min="14346" max="14346" width="24" style="2" bestFit="1" customWidth="1"/>
    <col min="14347" max="14347" width="18.7109375" style="2" bestFit="1" customWidth="1"/>
    <col min="14348" max="14348" width="19.42578125" style="2" bestFit="1" customWidth="1"/>
    <col min="14349" max="14349" width="0.5703125" style="2" customWidth="1"/>
    <col min="14350" max="14351" width="18.7109375" style="2" bestFit="1" customWidth="1"/>
    <col min="14352" max="14352" width="16.5703125" style="2" customWidth="1"/>
    <col min="14353" max="14353" width="0.7109375" style="2" customWidth="1"/>
    <col min="14354" max="14355" width="19.85546875" style="2" bestFit="1" customWidth="1"/>
    <col min="14356" max="14356" width="18.7109375" style="2" bestFit="1" customWidth="1"/>
    <col min="14357" max="14357" width="14.5703125" style="2" customWidth="1"/>
    <col min="14358" max="14358" width="9.140625" style="2"/>
    <col min="14359" max="14359" width="13.140625" style="2" bestFit="1" customWidth="1"/>
    <col min="14360" max="14592" width="9.140625" style="2"/>
    <col min="14593" max="14596" width="2.7109375" style="2" customWidth="1"/>
    <col min="14597" max="14597" width="50.5703125" style="2" customWidth="1"/>
    <col min="14598" max="14599" width="19.28515625" style="2" customWidth="1"/>
    <col min="14600" max="14600" width="18.5703125" style="2" customWidth="1"/>
    <col min="14601" max="14601" width="0.7109375" style="2" customWidth="1"/>
    <col min="14602" max="14602" width="24" style="2" bestFit="1" customWidth="1"/>
    <col min="14603" max="14603" width="18.7109375" style="2" bestFit="1" customWidth="1"/>
    <col min="14604" max="14604" width="19.42578125" style="2" bestFit="1" customWidth="1"/>
    <col min="14605" max="14605" width="0.5703125" style="2" customWidth="1"/>
    <col min="14606" max="14607" width="18.7109375" style="2" bestFit="1" customWidth="1"/>
    <col min="14608" max="14608" width="16.5703125" style="2" customWidth="1"/>
    <col min="14609" max="14609" width="0.7109375" style="2" customWidth="1"/>
    <col min="14610" max="14611" width="19.85546875" style="2" bestFit="1" customWidth="1"/>
    <col min="14612" max="14612" width="18.7109375" style="2" bestFit="1" customWidth="1"/>
    <col min="14613" max="14613" width="14.5703125" style="2" customWidth="1"/>
    <col min="14614" max="14614" width="9.140625" style="2"/>
    <col min="14615" max="14615" width="13.140625" style="2" bestFit="1" customWidth="1"/>
    <col min="14616" max="14848" width="9.140625" style="2"/>
    <col min="14849" max="14852" width="2.7109375" style="2" customWidth="1"/>
    <col min="14853" max="14853" width="50.5703125" style="2" customWidth="1"/>
    <col min="14854" max="14855" width="19.28515625" style="2" customWidth="1"/>
    <col min="14856" max="14856" width="18.5703125" style="2" customWidth="1"/>
    <col min="14857" max="14857" width="0.7109375" style="2" customWidth="1"/>
    <col min="14858" max="14858" width="24" style="2" bestFit="1" customWidth="1"/>
    <col min="14859" max="14859" width="18.7109375" style="2" bestFit="1" customWidth="1"/>
    <col min="14860" max="14860" width="19.42578125" style="2" bestFit="1" customWidth="1"/>
    <col min="14861" max="14861" width="0.5703125" style="2" customWidth="1"/>
    <col min="14862" max="14863" width="18.7109375" style="2" bestFit="1" customWidth="1"/>
    <col min="14864" max="14864" width="16.5703125" style="2" customWidth="1"/>
    <col min="14865" max="14865" width="0.7109375" style="2" customWidth="1"/>
    <col min="14866" max="14867" width="19.85546875" style="2" bestFit="1" customWidth="1"/>
    <col min="14868" max="14868" width="18.7109375" style="2" bestFit="1" customWidth="1"/>
    <col min="14869" max="14869" width="14.5703125" style="2" customWidth="1"/>
    <col min="14870" max="14870" width="9.140625" style="2"/>
    <col min="14871" max="14871" width="13.140625" style="2" bestFit="1" customWidth="1"/>
    <col min="14872" max="15104" width="9.140625" style="2"/>
    <col min="15105" max="15108" width="2.7109375" style="2" customWidth="1"/>
    <col min="15109" max="15109" width="50.5703125" style="2" customWidth="1"/>
    <col min="15110" max="15111" width="19.28515625" style="2" customWidth="1"/>
    <col min="15112" max="15112" width="18.5703125" style="2" customWidth="1"/>
    <col min="15113" max="15113" width="0.7109375" style="2" customWidth="1"/>
    <col min="15114" max="15114" width="24" style="2" bestFit="1" customWidth="1"/>
    <col min="15115" max="15115" width="18.7109375" style="2" bestFit="1" customWidth="1"/>
    <col min="15116" max="15116" width="19.42578125" style="2" bestFit="1" customWidth="1"/>
    <col min="15117" max="15117" width="0.5703125" style="2" customWidth="1"/>
    <col min="15118" max="15119" width="18.7109375" style="2" bestFit="1" customWidth="1"/>
    <col min="15120" max="15120" width="16.5703125" style="2" customWidth="1"/>
    <col min="15121" max="15121" width="0.7109375" style="2" customWidth="1"/>
    <col min="15122" max="15123" width="19.85546875" style="2" bestFit="1" customWidth="1"/>
    <col min="15124" max="15124" width="18.7109375" style="2" bestFit="1" customWidth="1"/>
    <col min="15125" max="15125" width="14.5703125" style="2" customWidth="1"/>
    <col min="15126" max="15126" width="9.140625" style="2"/>
    <col min="15127" max="15127" width="13.140625" style="2" bestFit="1" customWidth="1"/>
    <col min="15128" max="15360" width="9.140625" style="2"/>
    <col min="15361" max="15364" width="2.7109375" style="2" customWidth="1"/>
    <col min="15365" max="15365" width="50.5703125" style="2" customWidth="1"/>
    <col min="15366" max="15367" width="19.28515625" style="2" customWidth="1"/>
    <col min="15368" max="15368" width="18.5703125" style="2" customWidth="1"/>
    <col min="15369" max="15369" width="0.7109375" style="2" customWidth="1"/>
    <col min="15370" max="15370" width="24" style="2" bestFit="1" customWidth="1"/>
    <col min="15371" max="15371" width="18.7109375" style="2" bestFit="1" customWidth="1"/>
    <col min="15372" max="15372" width="19.42578125" style="2" bestFit="1" customWidth="1"/>
    <col min="15373" max="15373" width="0.5703125" style="2" customWidth="1"/>
    <col min="15374" max="15375" width="18.7109375" style="2" bestFit="1" customWidth="1"/>
    <col min="15376" max="15376" width="16.5703125" style="2" customWidth="1"/>
    <col min="15377" max="15377" width="0.7109375" style="2" customWidth="1"/>
    <col min="15378" max="15379" width="19.85546875" style="2" bestFit="1" customWidth="1"/>
    <col min="15380" max="15380" width="18.7109375" style="2" bestFit="1" customWidth="1"/>
    <col min="15381" max="15381" width="14.5703125" style="2" customWidth="1"/>
    <col min="15382" max="15382" width="9.140625" style="2"/>
    <col min="15383" max="15383" width="13.140625" style="2" bestFit="1" customWidth="1"/>
    <col min="15384" max="15616" width="9.140625" style="2"/>
    <col min="15617" max="15620" width="2.7109375" style="2" customWidth="1"/>
    <col min="15621" max="15621" width="50.5703125" style="2" customWidth="1"/>
    <col min="15622" max="15623" width="19.28515625" style="2" customWidth="1"/>
    <col min="15624" max="15624" width="18.5703125" style="2" customWidth="1"/>
    <col min="15625" max="15625" width="0.7109375" style="2" customWidth="1"/>
    <col min="15626" max="15626" width="24" style="2" bestFit="1" customWidth="1"/>
    <col min="15627" max="15627" width="18.7109375" style="2" bestFit="1" customWidth="1"/>
    <col min="15628" max="15628" width="19.42578125" style="2" bestFit="1" customWidth="1"/>
    <col min="15629" max="15629" width="0.5703125" style="2" customWidth="1"/>
    <col min="15630" max="15631" width="18.7109375" style="2" bestFit="1" customWidth="1"/>
    <col min="15632" max="15632" width="16.5703125" style="2" customWidth="1"/>
    <col min="15633" max="15633" width="0.7109375" style="2" customWidth="1"/>
    <col min="15634" max="15635" width="19.85546875" style="2" bestFit="1" customWidth="1"/>
    <col min="15636" max="15636" width="18.7109375" style="2" bestFit="1" customWidth="1"/>
    <col min="15637" max="15637" width="14.5703125" style="2" customWidth="1"/>
    <col min="15638" max="15638" width="9.140625" style="2"/>
    <col min="15639" max="15639" width="13.140625" style="2" bestFit="1" customWidth="1"/>
    <col min="15640" max="15872" width="9.140625" style="2"/>
    <col min="15873" max="15876" width="2.7109375" style="2" customWidth="1"/>
    <col min="15877" max="15877" width="50.5703125" style="2" customWidth="1"/>
    <col min="15878" max="15879" width="19.28515625" style="2" customWidth="1"/>
    <col min="15880" max="15880" width="18.5703125" style="2" customWidth="1"/>
    <col min="15881" max="15881" width="0.7109375" style="2" customWidth="1"/>
    <col min="15882" max="15882" width="24" style="2" bestFit="1" customWidth="1"/>
    <col min="15883" max="15883" width="18.7109375" style="2" bestFit="1" customWidth="1"/>
    <col min="15884" max="15884" width="19.42578125" style="2" bestFit="1" customWidth="1"/>
    <col min="15885" max="15885" width="0.5703125" style="2" customWidth="1"/>
    <col min="15886" max="15887" width="18.7109375" style="2" bestFit="1" customWidth="1"/>
    <col min="15888" max="15888" width="16.5703125" style="2" customWidth="1"/>
    <col min="15889" max="15889" width="0.7109375" style="2" customWidth="1"/>
    <col min="15890" max="15891" width="19.85546875" style="2" bestFit="1" customWidth="1"/>
    <col min="15892" max="15892" width="18.7109375" style="2" bestFit="1" customWidth="1"/>
    <col min="15893" max="15893" width="14.5703125" style="2" customWidth="1"/>
    <col min="15894" max="15894" width="9.140625" style="2"/>
    <col min="15895" max="15895" width="13.140625" style="2" bestFit="1" customWidth="1"/>
    <col min="15896" max="16128" width="9.140625" style="2"/>
    <col min="16129" max="16132" width="2.7109375" style="2" customWidth="1"/>
    <col min="16133" max="16133" width="50.5703125" style="2" customWidth="1"/>
    <col min="16134" max="16135" width="19.28515625" style="2" customWidth="1"/>
    <col min="16136" max="16136" width="18.5703125" style="2" customWidth="1"/>
    <col min="16137" max="16137" width="0.7109375" style="2" customWidth="1"/>
    <col min="16138" max="16138" width="24" style="2" bestFit="1" customWidth="1"/>
    <col min="16139" max="16139" width="18.7109375" style="2" bestFit="1" customWidth="1"/>
    <col min="16140" max="16140" width="19.42578125" style="2" bestFit="1" customWidth="1"/>
    <col min="16141" max="16141" width="0.5703125" style="2" customWidth="1"/>
    <col min="16142" max="16143" width="18.7109375" style="2" bestFit="1" customWidth="1"/>
    <col min="16144" max="16144" width="16.5703125" style="2" customWidth="1"/>
    <col min="16145" max="16145" width="0.7109375" style="2" customWidth="1"/>
    <col min="16146" max="16147" width="19.85546875" style="2" bestFit="1" customWidth="1"/>
    <col min="16148" max="16148" width="18.7109375" style="2" bestFit="1" customWidth="1"/>
    <col min="16149" max="16149" width="14.5703125" style="2" customWidth="1"/>
    <col min="16150" max="16150" width="9.140625" style="2"/>
    <col min="16151" max="16151" width="13.140625" style="2" bestFit="1" customWidth="1"/>
    <col min="16152" max="16384" width="9.140625" style="2"/>
  </cols>
  <sheetData>
    <row r="1" spans="2:21" ht="18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2:21" ht="20.25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21" ht="18">
      <c r="B3" s="131" t="s">
        <v>187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1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2:21" ht="24.95" customHeight="1">
      <c r="B5" s="134" t="s">
        <v>3</v>
      </c>
      <c r="C5" s="135"/>
      <c r="D5" s="135"/>
      <c r="E5" s="136"/>
      <c r="F5" s="140" t="s">
        <v>4</v>
      </c>
      <c r="G5" s="141"/>
      <c r="H5" s="142"/>
      <c r="I5" s="3"/>
      <c r="J5" s="140" t="s">
        <v>5</v>
      </c>
      <c r="K5" s="141"/>
      <c r="L5" s="142"/>
      <c r="M5" s="4"/>
      <c r="N5" s="140" t="s">
        <v>6</v>
      </c>
      <c r="O5" s="141"/>
      <c r="P5" s="142"/>
      <c r="Q5" s="3"/>
      <c r="R5" s="140" t="s">
        <v>7</v>
      </c>
      <c r="S5" s="141"/>
      <c r="T5" s="143"/>
      <c r="U5" s="127" t="s">
        <v>8</v>
      </c>
    </row>
    <row r="6" spans="2:21" s="8" customFormat="1" ht="28.5" customHeight="1" thickBot="1">
      <c r="B6" s="137"/>
      <c r="C6" s="138"/>
      <c r="D6" s="138"/>
      <c r="E6" s="139"/>
      <c r="F6" s="5" t="s">
        <v>9</v>
      </c>
      <c r="G6" s="6" t="s">
        <v>10</v>
      </c>
      <c r="H6" s="5" t="s">
        <v>11</v>
      </c>
      <c r="I6" s="6"/>
      <c r="J6" s="5" t="s">
        <v>12</v>
      </c>
      <c r="K6" s="6" t="s">
        <v>10</v>
      </c>
      <c r="L6" s="5" t="s">
        <v>11</v>
      </c>
      <c r="M6" s="5"/>
      <c r="N6" s="5" t="s">
        <v>9</v>
      </c>
      <c r="O6" s="6" t="s">
        <v>10</v>
      </c>
      <c r="P6" s="5" t="s">
        <v>11</v>
      </c>
      <c r="Q6" s="5"/>
      <c r="R6" s="6" t="s">
        <v>13</v>
      </c>
      <c r="S6" s="6" t="s">
        <v>10</v>
      </c>
      <c r="T6" s="7" t="s">
        <v>11</v>
      </c>
      <c r="U6" s="128"/>
    </row>
    <row r="7" spans="2:21" ht="24.95" customHeight="1">
      <c r="B7" s="9"/>
      <c r="C7" s="10"/>
      <c r="D7" s="10"/>
      <c r="E7" s="11"/>
      <c r="F7" s="12"/>
      <c r="G7" s="12"/>
      <c r="H7" s="12"/>
      <c r="I7" s="13"/>
      <c r="J7" s="12"/>
      <c r="K7" s="12"/>
      <c r="L7" s="12"/>
      <c r="M7" s="12"/>
      <c r="N7" s="12"/>
      <c r="O7" s="12"/>
      <c r="P7" s="12"/>
      <c r="Q7" s="13"/>
      <c r="R7" s="12"/>
      <c r="S7" s="12"/>
      <c r="T7" s="14"/>
      <c r="U7" s="15"/>
    </row>
    <row r="8" spans="2:21" ht="24.95" customHeight="1">
      <c r="B8" s="9" t="s">
        <v>14</v>
      </c>
      <c r="C8" s="10"/>
      <c r="D8" s="10"/>
      <c r="E8" s="11"/>
      <c r="F8" s="12">
        <f>2577008000-1019952608.1+782804</f>
        <v>1557838195.9000001</v>
      </c>
      <c r="G8" s="12">
        <f>745812086+782804</f>
        <v>746594890</v>
      </c>
      <c r="H8" s="12">
        <f>+F8-G8</f>
        <v>811243305.9000001</v>
      </c>
      <c r="I8" s="13"/>
      <c r="J8" s="12"/>
      <c r="K8" s="12"/>
      <c r="L8" s="12">
        <f>+J8-K8</f>
        <v>0</v>
      </c>
      <c r="M8" s="12"/>
      <c r="N8" s="12">
        <f>861515+63328</f>
        <v>924843</v>
      </c>
      <c r="O8" s="12">
        <v>482520.48</v>
      </c>
      <c r="P8" s="12">
        <f>+N8-O8</f>
        <v>442322.52</v>
      </c>
      <c r="Q8" s="16"/>
      <c r="R8" s="12">
        <f>+F8+J8+N8</f>
        <v>1558763038.9000001</v>
      </c>
      <c r="S8" s="12">
        <f>+G8+K8+O8</f>
        <v>747077410.48000002</v>
      </c>
      <c r="T8" s="14">
        <f>+R8-S8</f>
        <v>811685628.42000008</v>
      </c>
      <c r="U8" s="17">
        <f>+S8/R8</f>
        <v>0.47927580513276946</v>
      </c>
    </row>
    <row r="9" spans="2:21" ht="24.95" customHeight="1">
      <c r="B9" s="18"/>
      <c r="C9" s="10"/>
      <c r="D9" s="10"/>
      <c r="E9" s="19"/>
      <c r="F9" s="12"/>
      <c r="G9" s="12"/>
      <c r="H9" s="12">
        <f>+F9-G9</f>
        <v>0</v>
      </c>
      <c r="I9" s="13"/>
      <c r="J9" s="12"/>
      <c r="K9" s="12"/>
      <c r="L9" s="12">
        <f>+J9-K9</f>
        <v>0</v>
      </c>
      <c r="M9" s="12"/>
      <c r="N9" s="12"/>
      <c r="O9" s="12"/>
      <c r="P9" s="12">
        <f>+N9-O9</f>
        <v>0</v>
      </c>
      <c r="Q9" s="13"/>
      <c r="R9" s="12"/>
      <c r="S9" s="12"/>
      <c r="T9" s="14"/>
      <c r="U9" s="17"/>
    </row>
    <row r="10" spans="2:21" ht="24.95" customHeight="1">
      <c r="B10" s="9" t="s">
        <v>15</v>
      </c>
      <c r="C10" s="10"/>
      <c r="D10" s="10"/>
      <c r="E10" s="11"/>
      <c r="F10" s="12"/>
      <c r="G10" s="12"/>
      <c r="H10" s="12"/>
      <c r="I10" s="13"/>
      <c r="J10" s="12"/>
      <c r="K10" s="12"/>
      <c r="L10" s="12"/>
      <c r="M10" s="12"/>
      <c r="N10" s="12"/>
      <c r="O10" s="12"/>
      <c r="P10" s="12"/>
      <c r="Q10" s="13"/>
      <c r="R10" s="12"/>
      <c r="S10" s="12"/>
      <c r="T10" s="14"/>
      <c r="U10" s="17"/>
    </row>
    <row r="11" spans="2:21" ht="30" customHeight="1">
      <c r="B11" s="9"/>
      <c r="C11" s="129" t="s">
        <v>16</v>
      </c>
      <c r="D11" s="129"/>
      <c r="E11" s="130"/>
      <c r="F11" s="12">
        <f>SUM(F13:F46)</f>
        <v>1330722927.2800002</v>
      </c>
      <c r="G11" s="12">
        <f t="shared" ref="G11:T11" si="0">SUM(G13:G46)</f>
        <v>1622361827.0899999</v>
      </c>
      <c r="H11" s="12">
        <f t="shared" si="0"/>
        <v>-291638899.81</v>
      </c>
      <c r="I11" s="12">
        <f t="shared" si="0"/>
        <v>2208000</v>
      </c>
      <c r="J11" s="12">
        <f>SUM(J13:J46)</f>
        <v>347544207.10000002</v>
      </c>
      <c r="K11" s="12">
        <f t="shared" ref="K11" si="1">SUM(K13:K46)</f>
        <v>308438004.74999994</v>
      </c>
      <c r="L11" s="12">
        <f>SUM(L13:L46)</f>
        <v>39106202.349999994</v>
      </c>
      <c r="M11" s="12">
        <f t="shared" si="0"/>
        <v>0</v>
      </c>
      <c r="N11" s="12">
        <f>SUM(N13:N46)</f>
        <v>76586488.5</v>
      </c>
      <c r="O11" s="12">
        <f t="shared" ref="O11" si="2">SUM(O13:O46)</f>
        <v>79295026.719999984</v>
      </c>
      <c r="P11" s="12">
        <f>SUM(P13:P46)</f>
        <v>-2708538.2200000021</v>
      </c>
      <c r="Q11" s="12">
        <f t="shared" si="0"/>
        <v>0</v>
      </c>
      <c r="R11" s="12">
        <f t="shared" si="0"/>
        <v>1754853622.8799999</v>
      </c>
      <c r="S11" s="12">
        <f t="shared" si="0"/>
        <v>2010094858.5600002</v>
      </c>
      <c r="T11" s="14">
        <f t="shared" si="0"/>
        <v>-255241235.67999995</v>
      </c>
      <c r="U11" s="17">
        <f>+S11/R11</f>
        <v>1.1454487327900933</v>
      </c>
    </row>
    <row r="12" spans="2:21" ht="24.95" customHeight="1">
      <c r="B12" s="18"/>
      <c r="C12" s="20" t="s">
        <v>17</v>
      </c>
      <c r="D12" s="20"/>
      <c r="E12" s="10"/>
      <c r="F12" s="12"/>
      <c r="G12" s="12"/>
      <c r="H12" s="12">
        <f t="shared" ref="H12:H17" si="3">+F12-G12</f>
        <v>0</v>
      </c>
      <c r="I12" s="13"/>
      <c r="J12" s="12"/>
      <c r="K12" s="12"/>
      <c r="L12" s="12">
        <f t="shared" ref="L12:L17" si="4">+J12-K12</f>
        <v>0</v>
      </c>
      <c r="M12" s="12"/>
      <c r="N12" s="12"/>
      <c r="O12" s="12"/>
      <c r="P12" s="12">
        <f t="shared" ref="P12:P17" si="5">+N12-O12</f>
        <v>0</v>
      </c>
      <c r="Q12" s="13"/>
      <c r="R12" s="12"/>
      <c r="S12" s="12"/>
      <c r="T12" s="14"/>
      <c r="U12" s="17"/>
    </row>
    <row r="13" spans="2:21" ht="24.95" customHeight="1">
      <c r="B13" s="18"/>
      <c r="C13" s="20"/>
      <c r="D13" s="20"/>
      <c r="E13" s="10" t="s">
        <v>18</v>
      </c>
      <c r="F13" s="12">
        <v>22583510</v>
      </c>
      <c r="G13" s="12">
        <v>29976213.239999995</v>
      </c>
      <c r="H13" s="12">
        <f t="shared" si="3"/>
        <v>-7392703.2399999946</v>
      </c>
      <c r="I13" s="13"/>
      <c r="J13" s="12">
        <v>59700000</v>
      </c>
      <c r="K13" s="12">
        <v>59700000</v>
      </c>
      <c r="L13" s="12">
        <f t="shared" si="4"/>
        <v>0</v>
      </c>
      <c r="M13" s="12"/>
      <c r="N13" s="12"/>
      <c r="O13" s="12"/>
      <c r="P13" s="12">
        <f t="shared" si="5"/>
        <v>0</v>
      </c>
      <c r="Q13" s="13"/>
      <c r="R13" s="12">
        <f t="shared" ref="R13:S17" si="6">+F13+J13+N13</f>
        <v>82283510</v>
      </c>
      <c r="S13" s="12">
        <f t="shared" si="6"/>
        <v>89676213.239999995</v>
      </c>
      <c r="T13" s="14">
        <f>+R13-S13</f>
        <v>-7392703.2399999946</v>
      </c>
      <c r="U13" s="17">
        <f t="shared" ref="U13:U72" si="7">+S13/R13</f>
        <v>1.0898442864189921</v>
      </c>
    </row>
    <row r="14" spans="2:21" ht="24.95" customHeight="1">
      <c r="B14" s="18"/>
      <c r="C14" s="10"/>
      <c r="D14" s="10"/>
      <c r="E14" s="21" t="s">
        <v>19</v>
      </c>
      <c r="F14" s="12">
        <v>32730551</v>
      </c>
      <c r="G14" s="12">
        <v>31166626.960000001</v>
      </c>
      <c r="H14" s="12">
        <f t="shared" si="3"/>
        <v>1563924.0399999991</v>
      </c>
      <c r="I14" s="13"/>
      <c r="J14" s="12">
        <v>1577984</v>
      </c>
      <c r="K14" s="12">
        <v>7080931</v>
      </c>
      <c r="L14" s="12">
        <f t="shared" si="4"/>
        <v>-5502947</v>
      </c>
      <c r="M14" s="12"/>
      <c r="N14" s="12"/>
      <c r="O14" s="12"/>
      <c r="P14" s="12">
        <f t="shared" si="5"/>
        <v>0</v>
      </c>
      <c r="Q14" s="13"/>
      <c r="R14" s="12">
        <f t="shared" si="6"/>
        <v>34308535</v>
      </c>
      <c r="S14" s="12">
        <f t="shared" si="6"/>
        <v>38247557.960000001</v>
      </c>
      <c r="T14" s="14">
        <f>+R14-S14</f>
        <v>-3939022.9600000009</v>
      </c>
      <c r="U14" s="17">
        <f t="shared" si="7"/>
        <v>1.1148117504871602</v>
      </c>
    </row>
    <row r="15" spans="2:21" ht="27" customHeight="1">
      <c r="B15" s="18"/>
      <c r="C15" s="10"/>
      <c r="D15" s="10"/>
      <c r="E15" s="21" t="s">
        <v>20</v>
      </c>
      <c r="F15" s="12">
        <v>13694826</v>
      </c>
      <c r="G15" s="12">
        <v>37817345.159999996</v>
      </c>
      <c r="H15" s="12">
        <f t="shared" si="3"/>
        <v>-24122519.159999996</v>
      </c>
      <c r="I15" s="13"/>
      <c r="J15" s="12"/>
      <c r="K15" s="12"/>
      <c r="L15" s="12">
        <f t="shared" si="4"/>
        <v>0</v>
      </c>
      <c r="M15" s="12"/>
      <c r="N15" s="12"/>
      <c r="O15" s="12"/>
      <c r="P15" s="12">
        <f t="shared" si="5"/>
        <v>0</v>
      </c>
      <c r="Q15" s="13"/>
      <c r="R15" s="12">
        <f t="shared" si="6"/>
        <v>13694826</v>
      </c>
      <c r="S15" s="12">
        <f t="shared" si="6"/>
        <v>37817345.159999996</v>
      </c>
      <c r="T15" s="14">
        <f>+R15-S15</f>
        <v>-24122519.159999996</v>
      </c>
      <c r="U15" s="17">
        <f t="shared" si="7"/>
        <v>2.761433052161451</v>
      </c>
    </row>
    <row r="16" spans="2:21" ht="27" customHeight="1">
      <c r="B16" s="18"/>
      <c r="C16" s="10"/>
      <c r="D16" s="10"/>
      <c r="E16" s="22" t="s">
        <v>21</v>
      </c>
      <c r="F16" s="12">
        <v>15395000</v>
      </c>
      <c r="G16" s="12">
        <v>6531890.4400000004</v>
      </c>
      <c r="H16" s="12">
        <f t="shared" si="3"/>
        <v>8863109.5599999987</v>
      </c>
      <c r="I16" s="13"/>
      <c r="J16" s="12"/>
      <c r="K16" s="12"/>
      <c r="L16" s="12">
        <f t="shared" si="4"/>
        <v>0</v>
      </c>
      <c r="M16" s="12"/>
      <c r="N16" s="12"/>
      <c r="O16" s="12"/>
      <c r="P16" s="12">
        <f t="shared" si="5"/>
        <v>0</v>
      </c>
      <c r="Q16" s="13"/>
      <c r="R16" s="12">
        <f t="shared" si="6"/>
        <v>15395000</v>
      </c>
      <c r="S16" s="12">
        <f t="shared" si="6"/>
        <v>6531890.4400000004</v>
      </c>
      <c r="T16" s="14">
        <f>+R16-S16</f>
        <v>8863109.5599999987</v>
      </c>
      <c r="U16" s="17">
        <f t="shared" si="7"/>
        <v>0.42428648522247486</v>
      </c>
    </row>
    <row r="17" spans="2:21" ht="27" customHeight="1">
      <c r="B17" s="18"/>
      <c r="C17" s="10"/>
      <c r="D17" s="10"/>
      <c r="E17" s="21" t="s">
        <v>22</v>
      </c>
      <c r="F17" s="12">
        <v>19187382</v>
      </c>
      <c r="G17" s="12">
        <v>34147833.82</v>
      </c>
      <c r="H17" s="12">
        <f t="shared" si="3"/>
        <v>-14960451.82</v>
      </c>
      <c r="I17" s="13"/>
      <c r="J17" s="12"/>
      <c r="K17" s="12"/>
      <c r="L17" s="12">
        <f t="shared" si="4"/>
        <v>0</v>
      </c>
      <c r="M17" s="12"/>
      <c r="N17" s="12"/>
      <c r="O17" s="12"/>
      <c r="P17" s="12">
        <f t="shared" si="5"/>
        <v>0</v>
      </c>
      <c r="Q17" s="13"/>
      <c r="R17" s="12">
        <f t="shared" si="6"/>
        <v>19187382</v>
      </c>
      <c r="S17" s="12">
        <f t="shared" si="6"/>
        <v>34147833.82</v>
      </c>
      <c r="T17" s="14">
        <f>+R17-S17</f>
        <v>-14960451.82</v>
      </c>
      <c r="U17" s="17">
        <f t="shared" si="7"/>
        <v>1.7797026097671897</v>
      </c>
    </row>
    <row r="18" spans="2:21" ht="24.95" customHeight="1">
      <c r="B18" s="18"/>
      <c r="C18" s="10"/>
      <c r="D18" s="10"/>
      <c r="E18" s="21"/>
      <c r="F18" s="12"/>
      <c r="G18" s="12"/>
      <c r="H18" s="12"/>
      <c r="I18" s="13"/>
      <c r="J18" s="12"/>
      <c r="K18" s="12"/>
      <c r="L18" s="12"/>
      <c r="M18" s="12"/>
      <c r="N18" s="12"/>
      <c r="O18" s="12"/>
      <c r="P18" s="12"/>
      <c r="Q18" s="13"/>
      <c r="R18" s="12"/>
      <c r="S18" s="12"/>
      <c r="T18" s="14"/>
      <c r="U18" s="17"/>
    </row>
    <row r="19" spans="2:21" ht="24.95" customHeight="1">
      <c r="B19" s="18"/>
      <c r="C19" s="20" t="s">
        <v>23</v>
      </c>
      <c r="D19" s="20"/>
      <c r="E19" s="10"/>
      <c r="F19" s="12"/>
      <c r="G19" s="12"/>
      <c r="H19" s="12"/>
      <c r="I19" s="13"/>
      <c r="J19" s="12"/>
      <c r="K19" s="12"/>
      <c r="L19" s="12"/>
      <c r="M19" s="12"/>
      <c r="N19" s="12"/>
      <c r="O19" s="12"/>
      <c r="P19" s="12"/>
      <c r="Q19" s="13"/>
      <c r="R19" s="12"/>
      <c r="S19" s="12"/>
      <c r="T19" s="14"/>
      <c r="U19" s="17"/>
    </row>
    <row r="20" spans="2:21" ht="24.95" customHeight="1">
      <c r="B20" s="18"/>
      <c r="C20" s="20"/>
      <c r="D20" s="20"/>
      <c r="E20" s="10" t="s">
        <v>24</v>
      </c>
      <c r="F20" s="12">
        <v>178127000</v>
      </c>
      <c r="G20" s="12">
        <v>224138377.53</v>
      </c>
      <c r="H20" s="12">
        <f>+F20-G20</f>
        <v>-46011377.530000001</v>
      </c>
      <c r="I20" s="13"/>
      <c r="J20" s="12"/>
      <c r="K20" s="12">
        <v>528655</v>
      </c>
      <c r="L20" s="12">
        <f>+J20-K20</f>
        <v>-528655</v>
      </c>
      <c r="M20" s="12"/>
      <c r="N20" s="12"/>
      <c r="O20" s="12"/>
      <c r="P20" s="12">
        <f>+N20-O20</f>
        <v>0</v>
      </c>
      <c r="Q20" s="13"/>
      <c r="R20" s="12">
        <f>+F20+J20+N20</f>
        <v>178127000</v>
      </c>
      <c r="S20" s="12">
        <f>+G20+K20+O20</f>
        <v>224667032.53</v>
      </c>
      <c r="T20" s="14">
        <f>+R20-S20</f>
        <v>-46540032.530000001</v>
      </c>
      <c r="U20" s="17">
        <f t="shared" si="7"/>
        <v>1.2612744419992477</v>
      </c>
    </row>
    <row r="21" spans="2:21" ht="28.5" customHeight="1">
      <c r="B21" s="18"/>
      <c r="C21" s="10"/>
      <c r="D21" s="10"/>
      <c r="E21" s="22" t="s">
        <v>142</v>
      </c>
      <c r="F21" s="12">
        <v>30241303</v>
      </c>
      <c r="G21" s="12">
        <v>48022517.049999997</v>
      </c>
      <c r="H21" s="12">
        <f>+F21-G21</f>
        <v>-17781214.049999997</v>
      </c>
      <c r="I21" s="13"/>
      <c r="J21" s="12">
        <v>15000000</v>
      </c>
      <c r="K21" s="12">
        <v>15000000</v>
      </c>
      <c r="L21" s="12">
        <f>+J21-K21</f>
        <v>0</v>
      </c>
      <c r="M21" s="12"/>
      <c r="N21" s="12"/>
      <c r="O21" s="12"/>
      <c r="P21" s="12">
        <f>+N21-O21</f>
        <v>0</v>
      </c>
      <c r="Q21" s="13"/>
      <c r="R21" s="12">
        <f>+F21+J21+N21</f>
        <v>45241303</v>
      </c>
      <c r="S21" s="12">
        <f>+G21+K21+O21</f>
        <v>63022517.049999997</v>
      </c>
      <c r="T21" s="14">
        <f>+R21-S21</f>
        <v>-17781214.049999997</v>
      </c>
      <c r="U21" s="17">
        <f t="shared" si="7"/>
        <v>1.3930305466666155</v>
      </c>
    </row>
    <row r="22" spans="2:21" ht="24.95" customHeight="1">
      <c r="B22" s="18"/>
      <c r="C22" s="10"/>
      <c r="D22" s="10"/>
      <c r="E22" s="22"/>
      <c r="F22" s="12"/>
      <c r="G22" s="12"/>
      <c r="H22" s="12"/>
      <c r="I22" s="13"/>
      <c r="J22" s="12"/>
      <c r="K22" s="12"/>
      <c r="L22" s="12"/>
      <c r="M22" s="12"/>
      <c r="N22" s="12"/>
      <c r="O22" s="12"/>
      <c r="P22" s="12"/>
      <c r="Q22" s="13"/>
      <c r="R22" s="12"/>
      <c r="S22" s="12"/>
      <c r="T22" s="14"/>
      <c r="U22" s="17"/>
    </row>
    <row r="23" spans="2:21" ht="24.95" customHeight="1">
      <c r="B23" s="18"/>
      <c r="C23" s="20" t="s">
        <v>26</v>
      </c>
      <c r="D23" s="20"/>
      <c r="E23" s="10"/>
      <c r="F23" s="12"/>
      <c r="G23" s="12"/>
      <c r="H23" s="12"/>
      <c r="I23" s="13"/>
      <c r="J23" s="12"/>
      <c r="K23" s="12"/>
      <c r="L23" s="12"/>
      <c r="M23" s="12"/>
      <c r="N23" s="12"/>
      <c r="O23" s="12"/>
      <c r="P23" s="12"/>
      <c r="Q23" s="13"/>
      <c r="R23" s="12"/>
      <c r="S23" s="12"/>
      <c r="T23" s="14"/>
      <c r="U23" s="17"/>
    </row>
    <row r="24" spans="2:21" ht="24.95" customHeight="1">
      <c r="B24" s="18"/>
      <c r="C24" s="20"/>
      <c r="D24" s="20"/>
      <c r="E24" s="10" t="s">
        <v>27</v>
      </c>
      <c r="F24" s="12">
        <f>157628000-89000000</f>
        <v>68628000</v>
      </c>
      <c r="G24" s="12">
        <f>248125710.66-89000000</f>
        <v>159125710.66</v>
      </c>
      <c r="H24" s="12">
        <f>+F24-G24</f>
        <v>-90497710.659999996</v>
      </c>
      <c r="I24" s="13"/>
      <c r="J24" s="12">
        <v>89000000</v>
      </c>
      <c r="K24" s="12">
        <v>89000000</v>
      </c>
      <c r="L24" s="12">
        <f>+J24-K24</f>
        <v>0</v>
      </c>
      <c r="M24" s="12"/>
      <c r="N24" s="12"/>
      <c r="O24" s="12"/>
      <c r="P24" s="12">
        <f>+N24-O24</f>
        <v>0</v>
      </c>
      <c r="Q24" s="13"/>
      <c r="R24" s="12">
        <f t="shared" ref="R24:S26" si="8">+F24+J24+N24</f>
        <v>157628000</v>
      </c>
      <c r="S24" s="12">
        <f t="shared" si="8"/>
        <v>248125710.66</v>
      </c>
      <c r="T24" s="14">
        <f>+R24-S24</f>
        <v>-90497710.659999996</v>
      </c>
      <c r="U24" s="17">
        <f t="shared" si="7"/>
        <v>1.5741220510315426</v>
      </c>
    </row>
    <row r="25" spans="2:21" ht="27.75" customHeight="1">
      <c r="B25" s="18"/>
      <c r="C25" s="10"/>
      <c r="D25" s="10"/>
      <c r="E25" s="22" t="s">
        <v>28</v>
      </c>
      <c r="F25" s="12">
        <v>6934167</v>
      </c>
      <c r="G25" s="12">
        <f>12107146.88-140000</f>
        <v>11967146.880000001</v>
      </c>
      <c r="H25" s="12">
        <f>+F25-G25</f>
        <v>-5032979.8800000008</v>
      </c>
      <c r="I25" s="13"/>
      <c r="J25" s="12">
        <v>140000</v>
      </c>
      <c r="K25" s="12">
        <v>140000</v>
      </c>
      <c r="L25" s="12">
        <f>+J25-K25</f>
        <v>0</v>
      </c>
      <c r="M25" s="12"/>
      <c r="N25" s="12"/>
      <c r="O25" s="12"/>
      <c r="P25" s="12">
        <f>+N25-O25</f>
        <v>0</v>
      </c>
      <c r="Q25" s="13"/>
      <c r="R25" s="12">
        <f t="shared" si="8"/>
        <v>7074167</v>
      </c>
      <c r="S25" s="12">
        <f t="shared" si="8"/>
        <v>12107146.880000001</v>
      </c>
      <c r="T25" s="14">
        <f>+R25-S25</f>
        <v>-5032979.8800000008</v>
      </c>
      <c r="U25" s="17">
        <f t="shared" si="7"/>
        <v>1.7114590141849917</v>
      </c>
    </row>
    <row r="26" spans="2:21" ht="27.75" customHeight="1">
      <c r="B26" s="18"/>
      <c r="C26" s="10"/>
      <c r="D26" s="10"/>
      <c r="E26" s="22" t="s">
        <v>29</v>
      </c>
      <c r="F26" s="12">
        <v>12393347</v>
      </c>
      <c r="G26" s="12">
        <v>15260759.970000001</v>
      </c>
      <c r="H26" s="12">
        <f>+F26-G26</f>
        <v>-2867412.9700000007</v>
      </c>
      <c r="I26" s="13"/>
      <c r="J26" s="12">
        <v>10000000</v>
      </c>
      <c r="K26" s="12">
        <v>10000000</v>
      </c>
      <c r="L26" s="12">
        <f>+J26-K26</f>
        <v>0</v>
      </c>
      <c r="M26" s="12"/>
      <c r="N26" s="12"/>
      <c r="O26" s="12"/>
      <c r="P26" s="12">
        <f>+N26-O26</f>
        <v>0</v>
      </c>
      <c r="Q26" s="13"/>
      <c r="R26" s="12">
        <f t="shared" si="8"/>
        <v>22393347</v>
      </c>
      <c r="S26" s="12">
        <f t="shared" si="8"/>
        <v>25260759.969999999</v>
      </c>
      <c r="T26" s="14">
        <f>+R26-S26</f>
        <v>-2867412.9699999988</v>
      </c>
      <c r="U26" s="17">
        <f t="shared" si="7"/>
        <v>1.1280475388516062</v>
      </c>
    </row>
    <row r="27" spans="2:21" ht="24.95" customHeight="1">
      <c r="B27" s="18"/>
      <c r="C27" s="10"/>
      <c r="D27" s="10"/>
      <c r="E27" s="22"/>
      <c r="F27" s="12"/>
      <c r="G27" s="12"/>
      <c r="H27" s="12"/>
      <c r="I27" s="13"/>
      <c r="J27" s="12"/>
      <c r="K27" s="12"/>
      <c r="L27" s="12"/>
      <c r="M27" s="12"/>
      <c r="N27" s="12"/>
      <c r="O27" s="12"/>
      <c r="P27" s="12"/>
      <c r="Q27" s="13"/>
      <c r="R27" s="12"/>
      <c r="S27" s="12"/>
      <c r="T27" s="14"/>
      <c r="U27" s="17"/>
    </row>
    <row r="28" spans="2:21" ht="24.95" customHeight="1">
      <c r="B28" s="18"/>
      <c r="C28" s="20" t="s">
        <v>30</v>
      </c>
      <c r="D28" s="20"/>
      <c r="E28" s="10"/>
      <c r="F28" s="12"/>
      <c r="G28" s="12"/>
      <c r="H28" s="12"/>
      <c r="I28" s="13"/>
      <c r="J28" s="12"/>
      <c r="K28" s="12"/>
      <c r="L28" s="12"/>
      <c r="M28" s="12"/>
      <c r="N28" s="12"/>
      <c r="O28" s="12"/>
      <c r="P28" s="12"/>
      <c r="Q28" s="13"/>
      <c r="R28" s="12"/>
      <c r="S28" s="12"/>
      <c r="T28" s="14"/>
      <c r="U28" s="17"/>
    </row>
    <row r="29" spans="2:21" ht="24.95" customHeight="1">
      <c r="B29" s="18"/>
      <c r="C29" s="20"/>
      <c r="D29" s="20"/>
      <c r="E29" s="10" t="s">
        <v>31</v>
      </c>
      <c r="F29" s="23">
        <v>21057325.439999998</v>
      </c>
      <c r="G29" s="23">
        <v>34769174.509999998</v>
      </c>
      <c r="H29" s="12">
        <f>+F29-G29</f>
        <v>-13711849.07</v>
      </c>
      <c r="I29" s="13"/>
      <c r="J29" s="23">
        <v>100000000</v>
      </c>
      <c r="K29" s="23">
        <f>95506248.26+4473000</f>
        <v>99979248.260000005</v>
      </c>
      <c r="L29" s="12">
        <f>+J29-K29</f>
        <v>20751.739999994636</v>
      </c>
      <c r="M29" s="12"/>
      <c r="N29" s="23">
        <v>41956674.5</v>
      </c>
      <c r="O29" s="23">
        <v>41956674.5</v>
      </c>
      <c r="P29" s="12">
        <f>+N29-O29</f>
        <v>0</v>
      </c>
      <c r="Q29" s="13"/>
      <c r="R29" s="12">
        <f t="shared" ref="R29:S32" si="9">+F29+J29+N29</f>
        <v>163013999.94</v>
      </c>
      <c r="S29" s="12">
        <f t="shared" si="9"/>
        <v>176705097.27000001</v>
      </c>
      <c r="T29" s="14">
        <f>+R29-S29</f>
        <v>-13691097.330000013</v>
      </c>
      <c r="U29" s="17">
        <f t="shared" si="7"/>
        <v>1.0839872485494451</v>
      </c>
    </row>
    <row r="30" spans="2:21" ht="28.5" customHeight="1">
      <c r="B30" s="18"/>
      <c r="C30" s="10"/>
      <c r="D30" s="10"/>
      <c r="E30" s="22" t="s">
        <v>32</v>
      </c>
      <c r="F30" s="12">
        <v>76132000</v>
      </c>
      <c r="G30" s="12">
        <v>147629503.09999999</v>
      </c>
      <c r="H30" s="12">
        <f>+F30-G30</f>
        <v>-71497503.099999994</v>
      </c>
      <c r="I30" s="13"/>
      <c r="J30" s="12"/>
      <c r="K30" s="12"/>
      <c r="L30" s="12">
        <f>+J30-K30</f>
        <v>0</v>
      </c>
      <c r="M30" s="12"/>
      <c r="N30" s="12"/>
      <c r="O30" s="12"/>
      <c r="P30" s="12">
        <f>+N30-O30</f>
        <v>0</v>
      </c>
      <c r="Q30" s="13"/>
      <c r="R30" s="12">
        <f t="shared" si="9"/>
        <v>76132000</v>
      </c>
      <c r="S30" s="12">
        <f t="shared" si="9"/>
        <v>147629503.09999999</v>
      </c>
      <c r="T30" s="14">
        <f>+R30-S30</f>
        <v>-71497503.099999994</v>
      </c>
      <c r="U30" s="17">
        <f t="shared" si="7"/>
        <v>1.9391255070141333</v>
      </c>
    </row>
    <row r="31" spans="2:21" ht="28.5" customHeight="1">
      <c r="B31" s="18"/>
      <c r="C31" s="10"/>
      <c r="D31" s="10"/>
      <c r="E31" s="22" t="s">
        <v>33</v>
      </c>
      <c r="F31" s="12">
        <v>35557000</v>
      </c>
      <c r="G31" s="12">
        <v>38699948.359999999</v>
      </c>
      <c r="H31" s="12">
        <f>+F31-G31</f>
        <v>-3142948.3599999994</v>
      </c>
      <c r="I31" s="13"/>
      <c r="J31" s="12"/>
      <c r="K31" s="12"/>
      <c r="L31" s="12">
        <f>+J31-K31</f>
        <v>0</v>
      </c>
      <c r="M31" s="12"/>
      <c r="N31" s="12"/>
      <c r="O31" s="12"/>
      <c r="P31" s="12">
        <f>+N31-O31</f>
        <v>0</v>
      </c>
      <c r="Q31" s="13"/>
      <c r="R31" s="12">
        <f t="shared" si="9"/>
        <v>35557000</v>
      </c>
      <c r="S31" s="12">
        <f t="shared" si="9"/>
        <v>38699948.359999999</v>
      </c>
      <c r="T31" s="14">
        <f>+R31-S31</f>
        <v>-3142948.3599999994</v>
      </c>
      <c r="U31" s="17">
        <f t="shared" si="7"/>
        <v>1.0883918317068368</v>
      </c>
    </row>
    <row r="32" spans="2:21" ht="28.5" customHeight="1">
      <c r="B32" s="18"/>
      <c r="C32" s="10"/>
      <c r="D32" s="10"/>
      <c r="E32" s="22" t="s">
        <v>34</v>
      </c>
      <c r="F32" s="12">
        <v>4566734</v>
      </c>
      <c r="G32" s="12">
        <v>6298502.7000000002</v>
      </c>
      <c r="H32" s="12">
        <f>+F32-G32</f>
        <v>-1731768.7000000002</v>
      </c>
      <c r="I32" s="13"/>
      <c r="J32" s="12"/>
      <c r="K32" s="12"/>
      <c r="L32" s="12">
        <f>+J32-K32</f>
        <v>0</v>
      </c>
      <c r="M32" s="12"/>
      <c r="N32" s="12">
        <v>529992</v>
      </c>
      <c r="O32" s="12">
        <v>529991.31999999995</v>
      </c>
      <c r="P32" s="12">
        <f>+N32-O32</f>
        <v>0.68000000005122274</v>
      </c>
      <c r="Q32" s="13"/>
      <c r="R32" s="12">
        <f t="shared" si="9"/>
        <v>5096726</v>
      </c>
      <c r="S32" s="12">
        <f t="shared" si="9"/>
        <v>6828494.0200000005</v>
      </c>
      <c r="T32" s="14">
        <f>+R32-S32</f>
        <v>-1731768.0200000005</v>
      </c>
      <c r="U32" s="17">
        <f t="shared" si="7"/>
        <v>1.3397804826078545</v>
      </c>
    </row>
    <row r="33" spans="2:23" ht="27.75" customHeight="1">
      <c r="B33" s="18"/>
      <c r="C33" s="10"/>
      <c r="D33" s="10"/>
      <c r="E33" s="22"/>
      <c r="F33" s="12"/>
      <c r="G33" s="12"/>
      <c r="H33" s="12"/>
      <c r="I33" s="13"/>
      <c r="J33" s="12"/>
      <c r="K33" s="12"/>
      <c r="L33" s="12"/>
      <c r="M33" s="12"/>
      <c r="N33" s="12"/>
      <c r="O33" s="12"/>
      <c r="P33" s="12"/>
      <c r="Q33" s="13"/>
      <c r="R33" s="12"/>
      <c r="S33" s="12"/>
      <c r="T33" s="14"/>
      <c r="U33" s="17"/>
    </row>
    <row r="34" spans="2:23" ht="24.95" customHeight="1">
      <c r="B34" s="18"/>
      <c r="C34" s="24" t="s">
        <v>35</v>
      </c>
      <c r="D34" s="10"/>
      <c r="E34" s="22"/>
      <c r="F34" s="12"/>
      <c r="G34" s="12"/>
      <c r="H34" s="12"/>
      <c r="I34" s="13"/>
      <c r="J34" s="12"/>
      <c r="K34" s="12"/>
      <c r="L34" s="12"/>
      <c r="M34" s="12"/>
      <c r="N34" s="12"/>
      <c r="O34" s="12"/>
      <c r="P34" s="12"/>
      <c r="Q34" s="13"/>
      <c r="R34" s="12"/>
      <c r="S34" s="12"/>
      <c r="T34" s="14"/>
      <c r="U34" s="17"/>
    </row>
    <row r="35" spans="2:23" ht="24.95" customHeight="1">
      <c r="B35" s="18"/>
      <c r="C35" s="10"/>
      <c r="D35" s="25" t="s">
        <v>36</v>
      </c>
      <c r="E35" s="26"/>
      <c r="F35" s="12">
        <f>21764000+1115600+1640000</f>
        <v>24519600</v>
      </c>
      <c r="G35" s="12">
        <v>33602495.840000004</v>
      </c>
      <c r="H35" s="12">
        <f>+F35-G35</f>
        <v>-9082895.8400000036</v>
      </c>
      <c r="I35" s="13"/>
      <c r="J35" s="12"/>
      <c r="K35" s="12"/>
      <c r="L35" s="12">
        <f>+J35-K35</f>
        <v>0</v>
      </c>
      <c r="M35" s="12"/>
      <c r="N35" s="12">
        <v>2589076</v>
      </c>
      <c r="O35" s="12">
        <v>3869303.31</v>
      </c>
      <c r="P35" s="12">
        <f>+N35-O35</f>
        <v>-1280227.31</v>
      </c>
      <c r="Q35" s="13"/>
      <c r="R35" s="12">
        <f t="shared" ref="R35:S46" si="10">+F35+J35+N35</f>
        <v>27108676</v>
      </c>
      <c r="S35" s="12">
        <f t="shared" si="10"/>
        <v>37471799.150000006</v>
      </c>
      <c r="T35" s="14">
        <f>+R35-S35</f>
        <v>-10363123.150000006</v>
      </c>
      <c r="U35" s="17">
        <f t="shared" si="7"/>
        <v>1.3822806820222429</v>
      </c>
    </row>
    <row r="36" spans="2:23" ht="24.95" customHeight="1">
      <c r="B36" s="18"/>
      <c r="C36" s="10"/>
      <c r="D36" s="27" t="s">
        <v>37</v>
      </c>
      <c r="E36" s="22"/>
      <c r="F36" s="12">
        <v>177839999.99999997</v>
      </c>
      <c r="G36" s="12">
        <v>51295818.160000004</v>
      </c>
      <c r="H36" s="12">
        <f>+F36-G36</f>
        <v>126544181.83999997</v>
      </c>
      <c r="I36" s="13"/>
      <c r="J36" s="12">
        <f>14041308.16-20085.06</f>
        <v>14021223.1</v>
      </c>
      <c r="K36" s="12">
        <v>14028466.52</v>
      </c>
      <c r="L36" s="12">
        <f>+J36-K36</f>
        <v>-7243.4199999999255</v>
      </c>
      <c r="M36" s="12"/>
      <c r="N36" s="12"/>
      <c r="O36" s="12"/>
      <c r="P36" s="12">
        <f>+N36-O36</f>
        <v>0</v>
      </c>
      <c r="Q36" s="13"/>
      <c r="R36" s="12">
        <f t="shared" si="10"/>
        <v>191861223.09999996</v>
      </c>
      <c r="S36" s="12">
        <f t="shared" si="10"/>
        <v>65324284.680000007</v>
      </c>
      <c r="T36" s="14">
        <f>+R36-S36</f>
        <v>126536938.41999996</v>
      </c>
      <c r="U36" s="17">
        <f t="shared" si="7"/>
        <v>0.34047674472476569</v>
      </c>
    </row>
    <row r="37" spans="2:23" ht="24.95" customHeight="1">
      <c r="B37" s="18"/>
      <c r="C37" s="10"/>
      <c r="D37" s="28" t="s">
        <v>38</v>
      </c>
      <c r="E37" s="22"/>
      <c r="F37" s="12">
        <v>60623629</v>
      </c>
      <c r="G37" s="12">
        <v>77276871.069999993</v>
      </c>
      <c r="H37" s="12">
        <f>+F37-G37</f>
        <v>-16653242.069999993</v>
      </c>
      <c r="I37" s="13"/>
      <c r="J37" s="12"/>
      <c r="K37" s="12"/>
      <c r="L37" s="12">
        <f>+J37-K37</f>
        <v>0</v>
      </c>
      <c r="M37" s="12"/>
      <c r="N37" s="12">
        <v>26526963</v>
      </c>
      <c r="O37" s="12">
        <v>26977680.900000002</v>
      </c>
      <c r="P37" s="12">
        <f>+N37-O37</f>
        <v>-450717.90000000224</v>
      </c>
      <c r="Q37" s="13"/>
      <c r="R37" s="12">
        <f t="shared" si="10"/>
        <v>87150592</v>
      </c>
      <c r="S37" s="12">
        <f t="shared" si="10"/>
        <v>104254551.97</v>
      </c>
      <c r="T37" s="14">
        <f>+R37-S37</f>
        <v>-17103959.969999999</v>
      </c>
      <c r="U37" s="17">
        <f t="shared" si="7"/>
        <v>1.1962575305283067</v>
      </c>
    </row>
    <row r="38" spans="2:23" ht="24.95" customHeight="1">
      <c r="B38" s="18"/>
      <c r="C38" s="10"/>
      <c r="D38" s="28" t="s">
        <v>39</v>
      </c>
      <c r="E38" s="22"/>
      <c r="F38" s="12">
        <v>123008309.84</v>
      </c>
      <c r="G38" s="12">
        <v>99764319.469999999</v>
      </c>
      <c r="H38" s="12">
        <f>+F38-G38</f>
        <v>23243990.370000005</v>
      </c>
      <c r="I38" s="13"/>
      <c r="J38" s="12"/>
      <c r="K38" s="12"/>
      <c r="L38" s="12">
        <f>+J38-K38</f>
        <v>0</v>
      </c>
      <c r="M38" s="12"/>
      <c r="N38" s="12">
        <v>1360108</v>
      </c>
      <c r="O38" s="12">
        <v>1211856.74</v>
      </c>
      <c r="P38" s="12">
        <f>+N38-O38</f>
        <v>148251.26</v>
      </c>
      <c r="Q38" s="13"/>
      <c r="R38" s="12">
        <f t="shared" si="10"/>
        <v>124368417.84</v>
      </c>
      <c r="S38" s="12">
        <f t="shared" si="10"/>
        <v>100976176.20999999</v>
      </c>
      <c r="T38" s="14">
        <f>+R38-S38</f>
        <v>23392241.63000001</v>
      </c>
      <c r="U38" s="17">
        <f t="shared" si="7"/>
        <v>0.81191172134959433</v>
      </c>
    </row>
    <row r="39" spans="2:23" ht="24.95" customHeight="1">
      <c r="B39" s="18"/>
      <c r="C39" s="10"/>
      <c r="D39" s="28" t="s">
        <v>40</v>
      </c>
      <c r="E39" s="22"/>
      <c r="F39" s="12">
        <v>81193352</v>
      </c>
      <c r="G39" s="12">
        <v>136370502.50999999</v>
      </c>
      <c r="H39" s="12">
        <f t="shared" ref="H39:H44" si="11">+F39-G39</f>
        <v>-55177150.50999999</v>
      </c>
      <c r="I39" s="13"/>
      <c r="J39" s="12">
        <v>45505000</v>
      </c>
      <c r="K39" s="12"/>
      <c r="L39" s="12">
        <f t="shared" ref="L39:L44" si="12">+J39-K39</f>
        <v>45505000</v>
      </c>
      <c r="M39" s="12"/>
      <c r="N39" s="12"/>
      <c r="O39" s="12"/>
      <c r="P39" s="12">
        <f t="shared" ref="P39:P44" si="13">+N39-O39</f>
        <v>0</v>
      </c>
      <c r="Q39" s="13"/>
      <c r="R39" s="12">
        <f t="shared" si="10"/>
        <v>126698352</v>
      </c>
      <c r="S39" s="12">
        <f t="shared" si="10"/>
        <v>136370502.50999999</v>
      </c>
      <c r="T39" s="14">
        <f t="shared" ref="T39:T46" si="14">+R39-S39</f>
        <v>-9672150.5099999905</v>
      </c>
      <c r="U39" s="17">
        <f t="shared" si="7"/>
        <v>1.076339986726899</v>
      </c>
    </row>
    <row r="40" spans="2:23" ht="24.95" customHeight="1">
      <c r="B40" s="18"/>
      <c r="C40" s="10"/>
      <c r="D40" s="28" t="s">
        <v>41</v>
      </c>
      <c r="E40" s="22"/>
      <c r="F40" s="12">
        <f>50741000+7905809+2110000</f>
        <v>60756809</v>
      </c>
      <c r="G40" s="12">
        <v>54457275.869999997</v>
      </c>
      <c r="H40" s="12">
        <f t="shared" si="11"/>
        <v>6299533.1300000027</v>
      </c>
      <c r="I40" s="13"/>
      <c r="J40" s="12"/>
      <c r="K40" s="12"/>
      <c r="L40" s="12">
        <f t="shared" si="12"/>
        <v>0</v>
      </c>
      <c r="M40" s="12"/>
      <c r="N40" s="12">
        <v>576680</v>
      </c>
      <c r="O40" s="12">
        <v>443178.35</v>
      </c>
      <c r="P40" s="12">
        <f t="shared" si="13"/>
        <v>133501.65000000002</v>
      </c>
      <c r="Q40" s="13"/>
      <c r="R40" s="12">
        <f t="shared" si="10"/>
        <v>61333489</v>
      </c>
      <c r="S40" s="12">
        <f t="shared" si="10"/>
        <v>54900454.219999999</v>
      </c>
      <c r="T40" s="14">
        <f t="shared" si="14"/>
        <v>6433034.7800000012</v>
      </c>
      <c r="U40" s="17">
        <f t="shared" si="7"/>
        <v>0.89511382957522601</v>
      </c>
    </row>
    <row r="41" spans="2:23" ht="24.95" customHeight="1">
      <c r="B41" s="18"/>
      <c r="C41" s="10"/>
      <c r="D41" s="28" t="s">
        <v>42</v>
      </c>
      <c r="E41" s="22"/>
      <c r="F41" s="12">
        <v>41799000</v>
      </c>
      <c r="G41" s="12">
        <v>48379742.520000003</v>
      </c>
      <c r="H41" s="12">
        <f t="shared" si="11"/>
        <v>-6580742.5200000033</v>
      </c>
      <c r="I41" s="13"/>
      <c r="J41" s="12"/>
      <c r="K41" s="12"/>
      <c r="L41" s="12">
        <f t="shared" si="12"/>
        <v>0</v>
      </c>
      <c r="M41" s="12"/>
      <c r="N41" s="12">
        <v>169124</v>
      </c>
      <c r="O41" s="12">
        <v>1204957.4099999999</v>
      </c>
      <c r="P41" s="12">
        <f t="shared" si="13"/>
        <v>-1035833.4099999999</v>
      </c>
      <c r="Q41" s="13"/>
      <c r="R41" s="12">
        <f t="shared" si="10"/>
        <v>41968124</v>
      </c>
      <c r="S41" s="12">
        <f t="shared" si="10"/>
        <v>49584699.93</v>
      </c>
      <c r="T41" s="14">
        <f t="shared" si="14"/>
        <v>-7616575.9299999997</v>
      </c>
      <c r="U41" s="17">
        <f t="shared" si="7"/>
        <v>1.1814847842615028</v>
      </c>
    </row>
    <row r="42" spans="2:23" ht="24.95" customHeight="1">
      <c r="B42" s="18"/>
      <c r="C42" s="10"/>
      <c r="D42" s="25" t="s">
        <v>43</v>
      </c>
      <c r="E42" s="22"/>
      <c r="F42" s="12">
        <v>52720343</v>
      </c>
      <c r="G42" s="12">
        <v>70945551.289999992</v>
      </c>
      <c r="H42" s="12">
        <f t="shared" si="11"/>
        <v>-18225208.289999992</v>
      </c>
      <c r="I42" s="13">
        <v>2208000</v>
      </c>
      <c r="J42" s="12"/>
      <c r="K42" s="12">
        <v>381248.9</v>
      </c>
      <c r="L42" s="12">
        <f t="shared" si="12"/>
        <v>-381248.9</v>
      </c>
      <c r="M42" s="12"/>
      <c r="N42" s="12">
        <f>2877871</f>
        <v>2877871</v>
      </c>
      <c r="O42" s="12">
        <v>2937362.1</v>
      </c>
      <c r="P42" s="12">
        <f t="shared" si="13"/>
        <v>-59491.100000000093</v>
      </c>
      <c r="Q42" s="13"/>
      <c r="R42" s="12">
        <f t="shared" si="10"/>
        <v>55598214</v>
      </c>
      <c r="S42" s="12">
        <f t="shared" si="10"/>
        <v>74264162.289999992</v>
      </c>
      <c r="T42" s="14">
        <f t="shared" si="14"/>
        <v>-18665948.289999992</v>
      </c>
      <c r="U42" s="17">
        <f t="shared" si="7"/>
        <v>1.335729278821798</v>
      </c>
    </row>
    <row r="43" spans="2:23" ht="24.95" customHeight="1">
      <c r="B43" s="18"/>
      <c r="C43" s="10"/>
      <c r="D43" s="27" t="s">
        <v>44</v>
      </c>
      <c r="E43" s="22"/>
      <c r="F43" s="12">
        <v>59412232</v>
      </c>
      <c r="G43" s="12">
        <v>76953455.25</v>
      </c>
      <c r="H43" s="12">
        <f t="shared" si="11"/>
        <v>-17541223.25</v>
      </c>
      <c r="I43" s="13"/>
      <c r="J43" s="12"/>
      <c r="K43" s="12"/>
      <c r="L43" s="12">
        <f t="shared" si="12"/>
        <v>0</v>
      </c>
      <c r="M43" s="12"/>
      <c r="N43" s="12"/>
      <c r="O43" s="12"/>
      <c r="P43" s="12">
        <f t="shared" si="13"/>
        <v>0</v>
      </c>
      <c r="Q43" s="13"/>
      <c r="R43" s="12">
        <f t="shared" si="10"/>
        <v>59412232</v>
      </c>
      <c r="S43" s="12">
        <f t="shared" si="10"/>
        <v>76953455.25</v>
      </c>
      <c r="T43" s="14">
        <f t="shared" si="14"/>
        <v>-17541223.25</v>
      </c>
      <c r="U43" s="17">
        <f t="shared" si="7"/>
        <v>1.2952459899166893</v>
      </c>
    </row>
    <row r="44" spans="2:23" ht="24.95" customHeight="1">
      <c r="B44" s="18"/>
      <c r="C44" s="10"/>
      <c r="D44" s="28" t="s">
        <v>45</v>
      </c>
      <c r="E44" s="22"/>
      <c r="F44" s="12">
        <f>51236055-12600000</f>
        <v>38636055</v>
      </c>
      <c r="G44" s="12">
        <f>63813250.99-12599455.07</f>
        <v>51213795.920000002</v>
      </c>
      <c r="H44" s="12">
        <f t="shared" si="11"/>
        <v>-12577740.920000002</v>
      </c>
      <c r="I44" s="13"/>
      <c r="J44" s="12">
        <v>12600000</v>
      </c>
      <c r="K44" s="12">
        <v>12599455.07</v>
      </c>
      <c r="L44" s="12">
        <f t="shared" si="12"/>
        <v>544.92999999970198</v>
      </c>
      <c r="M44" s="12"/>
      <c r="N44" s="12"/>
      <c r="O44" s="12"/>
      <c r="P44" s="12">
        <f t="shared" si="13"/>
        <v>0</v>
      </c>
      <c r="Q44" s="13"/>
      <c r="R44" s="12">
        <f t="shared" si="10"/>
        <v>51236055</v>
      </c>
      <c r="S44" s="12">
        <f t="shared" si="10"/>
        <v>63813250.990000002</v>
      </c>
      <c r="T44" s="14">
        <f t="shared" si="14"/>
        <v>-12577195.990000002</v>
      </c>
      <c r="U44" s="17">
        <f t="shared" si="7"/>
        <v>1.2454754955275147</v>
      </c>
    </row>
    <row r="45" spans="2:23" ht="24.95" customHeight="1">
      <c r="B45" s="18"/>
      <c r="C45" s="10"/>
      <c r="D45" s="29" t="s">
        <v>46</v>
      </c>
      <c r="E45" s="22"/>
      <c r="F45" s="12">
        <v>52977000</v>
      </c>
      <c r="G45" s="12">
        <v>68074392.109999999</v>
      </c>
      <c r="H45" s="12">
        <f>+F45-G45</f>
        <v>-15097392.109999999</v>
      </c>
      <c r="I45" s="13"/>
      <c r="J45" s="12"/>
      <c r="K45" s="12"/>
      <c r="L45" s="12">
        <f>+J45-K45</f>
        <v>0</v>
      </c>
      <c r="M45" s="12"/>
      <c r="N45" s="12"/>
      <c r="O45" s="12">
        <v>164022.09</v>
      </c>
      <c r="P45" s="12">
        <f>+N45-O45</f>
        <v>-164022.09</v>
      </c>
      <c r="Q45" s="13"/>
      <c r="R45" s="12">
        <f>+F45+J45+N45</f>
        <v>52977000</v>
      </c>
      <c r="S45" s="12">
        <f t="shared" si="10"/>
        <v>68238414.200000003</v>
      </c>
      <c r="T45" s="14">
        <f t="shared" si="14"/>
        <v>-15261414.200000003</v>
      </c>
      <c r="U45" s="17">
        <f t="shared" si="7"/>
        <v>1.2880762255318345</v>
      </c>
      <c r="W45" s="30"/>
    </row>
    <row r="46" spans="2:23" ht="24.95" customHeight="1">
      <c r="B46" s="18"/>
      <c r="C46" s="10"/>
      <c r="D46" s="25" t="s">
        <v>47</v>
      </c>
      <c r="E46" s="22"/>
      <c r="F46" s="12">
        <v>20008452</v>
      </c>
      <c r="G46" s="12">
        <v>28476056.699999999</v>
      </c>
      <c r="H46" s="12">
        <f>+F46-G46</f>
        <v>-8467604.6999999993</v>
      </c>
      <c r="I46" s="13"/>
      <c r="J46" s="12"/>
      <c r="K46" s="12"/>
      <c r="L46" s="12">
        <f>+J46-K46</f>
        <v>0</v>
      </c>
      <c r="M46" s="12"/>
      <c r="N46" s="12"/>
      <c r="O46" s="12"/>
      <c r="P46" s="12">
        <f>+N46-O46</f>
        <v>0</v>
      </c>
      <c r="Q46" s="13"/>
      <c r="R46" s="12">
        <f>+F46+J46+N46</f>
        <v>20008452</v>
      </c>
      <c r="S46" s="12">
        <f t="shared" si="10"/>
        <v>28476056.699999999</v>
      </c>
      <c r="T46" s="14">
        <f t="shared" si="14"/>
        <v>-8467604.6999999993</v>
      </c>
      <c r="U46" s="17">
        <f t="shared" si="7"/>
        <v>1.4232013900925469</v>
      </c>
    </row>
    <row r="47" spans="2:23" ht="27.75" customHeight="1">
      <c r="B47" s="18"/>
      <c r="C47" s="10"/>
      <c r="D47" s="10"/>
      <c r="E47" s="22"/>
      <c r="F47" s="12"/>
      <c r="G47" s="12"/>
      <c r="H47" s="12"/>
      <c r="I47" s="13"/>
      <c r="J47" s="12"/>
      <c r="K47" s="12"/>
      <c r="L47" s="12"/>
      <c r="M47" s="12"/>
      <c r="N47" s="12"/>
      <c r="O47" s="12"/>
      <c r="P47" s="12"/>
      <c r="Q47" s="13"/>
      <c r="R47" s="12"/>
      <c r="S47" s="12"/>
      <c r="T47" s="14"/>
      <c r="U47" s="17"/>
    </row>
    <row r="48" spans="2:23" ht="24.95" customHeight="1">
      <c r="B48" s="18"/>
      <c r="C48" s="24" t="s">
        <v>48</v>
      </c>
      <c r="D48" s="10"/>
      <c r="E48" s="22"/>
      <c r="F48" s="12"/>
      <c r="G48" s="12"/>
      <c r="H48" s="12"/>
      <c r="I48" s="13"/>
      <c r="J48" s="12"/>
      <c r="K48" s="12"/>
      <c r="L48" s="12"/>
      <c r="M48" s="12"/>
      <c r="N48" s="12"/>
      <c r="O48" s="12"/>
      <c r="P48" s="12"/>
      <c r="Q48" s="13"/>
      <c r="R48" s="12"/>
      <c r="S48" s="12"/>
      <c r="T48" s="14"/>
      <c r="U48" s="17"/>
    </row>
    <row r="49" spans="2:21" ht="24.95" customHeight="1">
      <c r="B49" s="18"/>
      <c r="C49" s="10"/>
      <c r="D49" s="10"/>
      <c r="E49" s="10" t="s">
        <v>49</v>
      </c>
      <c r="F49" s="12">
        <v>24738000</v>
      </c>
      <c r="G49" s="12">
        <v>30915670.550000001</v>
      </c>
      <c r="H49" s="12">
        <f>+F49-G49</f>
        <v>-6177670.5500000007</v>
      </c>
      <c r="I49" s="13"/>
      <c r="J49" s="12"/>
      <c r="K49" s="12"/>
      <c r="L49" s="12">
        <f>+J49-K49</f>
        <v>0</v>
      </c>
      <c r="M49" s="12"/>
      <c r="N49" s="12"/>
      <c r="O49" s="12"/>
      <c r="P49" s="12">
        <f>+N49-O49</f>
        <v>0</v>
      </c>
      <c r="Q49" s="13"/>
      <c r="R49" s="12">
        <f>+F49+J49+N49</f>
        <v>24738000</v>
      </c>
      <c r="S49" s="12">
        <f>+G49+K49+O49</f>
        <v>30915670.550000001</v>
      </c>
      <c r="T49" s="14">
        <f>+R49-S49</f>
        <v>-6177670.5500000007</v>
      </c>
      <c r="U49" s="17">
        <f t="shared" si="7"/>
        <v>1.2497239287735469</v>
      </c>
    </row>
    <row r="50" spans="2:21" ht="24.95" customHeight="1">
      <c r="B50" s="18"/>
      <c r="C50" s="10"/>
      <c r="D50" s="10"/>
      <c r="E50" s="10" t="s">
        <v>50</v>
      </c>
      <c r="F50" s="12">
        <v>62750700</v>
      </c>
      <c r="G50" s="12">
        <v>42871560.869999997</v>
      </c>
      <c r="H50" s="12">
        <f>+F50-G50</f>
        <v>19879139.130000003</v>
      </c>
      <c r="I50" s="13"/>
      <c r="J50" s="12"/>
      <c r="K50" s="12"/>
      <c r="L50" s="12">
        <f>+J50-K50</f>
        <v>0</v>
      </c>
      <c r="M50" s="12"/>
      <c r="N50" s="12">
        <v>676474</v>
      </c>
      <c r="O50" s="12">
        <v>548990.63</v>
      </c>
      <c r="P50" s="12">
        <f>+N50-O50</f>
        <v>127483.37</v>
      </c>
      <c r="Q50" s="13"/>
      <c r="R50" s="12">
        <f>+F50+J50+N50</f>
        <v>63427174</v>
      </c>
      <c r="S50" s="12">
        <f>+G50+K50+O50</f>
        <v>43420551.5</v>
      </c>
      <c r="T50" s="14">
        <f>+R50-S50</f>
        <v>20006622.5</v>
      </c>
      <c r="U50" s="17">
        <f t="shared" si="7"/>
        <v>0.68457332656819925</v>
      </c>
    </row>
    <row r="51" spans="2:21" ht="27.75" customHeight="1">
      <c r="B51" s="18"/>
      <c r="C51" s="10"/>
      <c r="D51" s="10"/>
      <c r="E51" s="31" t="s">
        <v>51</v>
      </c>
      <c r="F51" s="32">
        <f t="shared" ref="F51:T51" si="15">SUM(F13:F48)</f>
        <v>1330722927.2800002</v>
      </c>
      <c r="G51" s="32">
        <f t="shared" si="15"/>
        <v>1622361827.0899999</v>
      </c>
      <c r="H51" s="32">
        <f t="shared" si="15"/>
        <v>-291638899.81</v>
      </c>
      <c r="I51" s="32">
        <f t="shared" si="15"/>
        <v>2208000</v>
      </c>
      <c r="J51" s="32">
        <f t="shared" si="15"/>
        <v>347544207.10000002</v>
      </c>
      <c r="K51" s="32">
        <f t="shared" si="15"/>
        <v>308438004.74999994</v>
      </c>
      <c r="L51" s="32">
        <f>SUM(L13:L48)</f>
        <v>39106202.349999994</v>
      </c>
      <c r="M51" s="32">
        <f t="shared" si="15"/>
        <v>0</v>
      </c>
      <c r="N51" s="32">
        <f t="shared" si="15"/>
        <v>76586488.5</v>
      </c>
      <c r="O51" s="32">
        <f t="shared" si="15"/>
        <v>79295026.719999984</v>
      </c>
      <c r="P51" s="32">
        <f>SUM(P13:P48)</f>
        <v>-2708538.2200000021</v>
      </c>
      <c r="Q51" s="32">
        <f t="shared" si="15"/>
        <v>0</v>
      </c>
      <c r="R51" s="32">
        <f t="shared" si="15"/>
        <v>1754853622.8799999</v>
      </c>
      <c r="S51" s="32">
        <f t="shared" si="15"/>
        <v>2010094858.5600002</v>
      </c>
      <c r="T51" s="32">
        <f t="shared" si="15"/>
        <v>-255241235.67999995</v>
      </c>
      <c r="U51" s="17">
        <f t="shared" si="7"/>
        <v>1.1454487327900933</v>
      </c>
    </row>
    <row r="52" spans="2:21" ht="27.75" customHeight="1">
      <c r="B52" s="18"/>
      <c r="C52" s="10"/>
      <c r="D52" s="10"/>
      <c r="E52" s="31"/>
      <c r="F52" s="32"/>
      <c r="G52" s="32"/>
      <c r="H52" s="32"/>
      <c r="I52" s="33"/>
      <c r="J52" s="32"/>
      <c r="K52" s="32"/>
      <c r="L52" s="32"/>
      <c r="M52" s="32"/>
      <c r="N52" s="32"/>
      <c r="O52" s="32"/>
      <c r="P52" s="32"/>
      <c r="Q52" s="33"/>
      <c r="R52" s="32"/>
      <c r="S52" s="32"/>
      <c r="T52" s="34"/>
      <c r="U52" s="17"/>
    </row>
    <row r="53" spans="2:21" ht="24.95" customHeight="1">
      <c r="B53" s="18"/>
      <c r="C53" s="24" t="s">
        <v>52</v>
      </c>
      <c r="D53" s="10"/>
      <c r="E53" s="22"/>
      <c r="F53" s="12">
        <f>SUM(F55:F80)</f>
        <v>651987499</v>
      </c>
      <c r="G53" s="12">
        <f t="shared" ref="G53:T53" si="16">SUM(G55:G80)</f>
        <v>830007947.9000001</v>
      </c>
      <c r="H53" s="12">
        <f t="shared" si="16"/>
        <v>-178020448.89999998</v>
      </c>
      <c r="I53" s="12">
        <f t="shared" si="16"/>
        <v>0</v>
      </c>
      <c r="J53" s="12">
        <f>SUM(J55:J80)</f>
        <v>186603658</v>
      </c>
      <c r="K53" s="12">
        <f t="shared" ref="K53" si="17">SUM(K55:K80)</f>
        <v>279195724.03000003</v>
      </c>
      <c r="L53" s="12">
        <f>SUM(L55:L80)</f>
        <v>-92592066.030000016</v>
      </c>
      <c r="M53" s="12">
        <f t="shared" si="16"/>
        <v>0</v>
      </c>
      <c r="N53" s="12">
        <f>SUM(N55:N80)</f>
        <v>7452760</v>
      </c>
      <c r="O53" s="12">
        <f t="shared" ref="O53" si="18">SUM(O55:O80)</f>
        <v>20722265.830000002</v>
      </c>
      <c r="P53" s="12">
        <f>SUM(P55:P80)</f>
        <v>-13269505.830000002</v>
      </c>
      <c r="Q53" s="12">
        <f t="shared" si="16"/>
        <v>0</v>
      </c>
      <c r="R53" s="12">
        <f t="shared" si="16"/>
        <v>846043917</v>
      </c>
      <c r="S53" s="12">
        <f t="shared" si="16"/>
        <v>1129925937.76</v>
      </c>
      <c r="T53" s="14">
        <f t="shared" si="16"/>
        <v>-283882020.75999999</v>
      </c>
      <c r="U53" s="17">
        <f>+S53/R53</f>
        <v>1.3355405257999153</v>
      </c>
    </row>
    <row r="54" spans="2:21" ht="24.95" customHeight="1">
      <c r="B54" s="18"/>
      <c r="C54" s="20" t="s">
        <v>53</v>
      </c>
      <c r="D54" s="20"/>
      <c r="E54" s="10"/>
      <c r="F54" s="12"/>
      <c r="G54" s="12"/>
      <c r="H54" s="12">
        <f t="shared" ref="H54:H59" si="19">+F54-G54</f>
        <v>0</v>
      </c>
      <c r="I54" s="13"/>
      <c r="J54" s="12"/>
      <c r="K54" s="12"/>
      <c r="L54" s="12">
        <f t="shared" ref="L54:L59" si="20">+J54-K54</f>
        <v>0</v>
      </c>
      <c r="M54" s="12"/>
      <c r="N54" s="12"/>
      <c r="O54" s="12"/>
      <c r="P54" s="12">
        <f t="shared" ref="P54:P59" si="21">+N54-O54</f>
        <v>0</v>
      </c>
      <c r="Q54" s="13"/>
      <c r="R54" s="12"/>
      <c r="S54" s="12"/>
      <c r="T54" s="14"/>
      <c r="U54" s="17"/>
    </row>
    <row r="55" spans="2:21" ht="24.95" customHeight="1">
      <c r="B55" s="18"/>
      <c r="C55" s="20"/>
      <c r="D55" s="20"/>
      <c r="E55" s="10" t="s">
        <v>54</v>
      </c>
      <c r="F55" s="35">
        <v>42982000</v>
      </c>
      <c r="G55" s="36">
        <v>42791389.18</v>
      </c>
      <c r="H55" s="12">
        <f t="shared" si="19"/>
        <v>190610.8200000003</v>
      </c>
      <c r="I55" s="13"/>
      <c r="J55" s="35"/>
      <c r="K55" s="36">
        <v>21450807.760000002</v>
      </c>
      <c r="L55" s="12">
        <f t="shared" si="20"/>
        <v>-21450807.760000002</v>
      </c>
      <c r="M55" s="12"/>
      <c r="N55" s="35"/>
      <c r="O55" s="36"/>
      <c r="P55" s="12">
        <f t="shared" si="21"/>
        <v>0</v>
      </c>
      <c r="Q55" s="13"/>
      <c r="R55" s="12">
        <f>+F55+J55+N55</f>
        <v>42982000</v>
      </c>
      <c r="S55" s="12">
        <f t="shared" ref="R55:S59" si="22">+G55+K55+O55</f>
        <v>64242196.939999998</v>
      </c>
      <c r="T55" s="14">
        <f>+R55-S55</f>
        <v>-21260196.939999998</v>
      </c>
      <c r="U55" s="17">
        <f t="shared" si="7"/>
        <v>1.4946302391698849</v>
      </c>
    </row>
    <row r="56" spans="2:21" ht="30" customHeight="1">
      <c r="B56" s="18"/>
      <c r="C56" s="10"/>
      <c r="D56" s="10"/>
      <c r="E56" s="21" t="s">
        <v>55</v>
      </c>
      <c r="F56" s="36">
        <v>70142000</v>
      </c>
      <c r="G56" s="37">
        <v>70171735.409999996</v>
      </c>
      <c r="H56" s="12">
        <f t="shared" si="19"/>
        <v>-29735.409999996424</v>
      </c>
      <c r="I56" s="13"/>
      <c r="J56" s="36">
        <v>20815486</v>
      </c>
      <c r="K56" s="36">
        <v>20815486</v>
      </c>
      <c r="L56" s="12">
        <f t="shared" si="20"/>
        <v>0</v>
      </c>
      <c r="M56" s="38"/>
      <c r="N56" s="36"/>
      <c r="O56" s="37"/>
      <c r="P56" s="12">
        <f t="shared" si="21"/>
        <v>0</v>
      </c>
      <c r="Q56" s="39"/>
      <c r="R56" s="38">
        <f t="shared" si="22"/>
        <v>90957486</v>
      </c>
      <c r="S56" s="38">
        <f t="shared" si="22"/>
        <v>90987221.409999996</v>
      </c>
      <c r="T56" s="40">
        <f>+R56-S56</f>
        <v>-29735.409999996424</v>
      </c>
      <c r="U56" s="17">
        <f t="shared" si="7"/>
        <v>1.0003269154778529</v>
      </c>
    </row>
    <row r="57" spans="2:21" ht="30" customHeight="1">
      <c r="B57" s="18"/>
      <c r="C57" s="10"/>
      <c r="D57" s="10"/>
      <c r="E57" s="21" t="s">
        <v>56</v>
      </c>
      <c r="F57" s="12">
        <v>16077000</v>
      </c>
      <c r="G57" s="12">
        <v>13572041.32</v>
      </c>
      <c r="H57" s="12">
        <f t="shared" si="19"/>
        <v>2504958.6799999997</v>
      </c>
      <c r="I57" s="13"/>
      <c r="J57" s="12">
        <v>3050000</v>
      </c>
      <c r="K57" s="12">
        <v>2918992.2</v>
      </c>
      <c r="L57" s="12">
        <f t="shared" si="20"/>
        <v>131007.79999999981</v>
      </c>
      <c r="M57" s="12"/>
      <c r="N57" s="12"/>
      <c r="O57" s="12"/>
      <c r="P57" s="12">
        <f t="shared" si="21"/>
        <v>0</v>
      </c>
      <c r="Q57" s="13"/>
      <c r="R57" s="12">
        <f t="shared" si="22"/>
        <v>19127000</v>
      </c>
      <c r="S57" s="12">
        <f t="shared" si="22"/>
        <v>16491033.52</v>
      </c>
      <c r="T57" s="14">
        <f>+R57-S57</f>
        <v>2635966.4800000004</v>
      </c>
      <c r="U57" s="17">
        <f t="shared" si="7"/>
        <v>0.86218609923145295</v>
      </c>
    </row>
    <row r="58" spans="2:21" ht="24.95" customHeight="1">
      <c r="B58" s="18"/>
      <c r="C58" s="10"/>
      <c r="D58" s="10"/>
      <c r="E58" s="28" t="s">
        <v>57</v>
      </c>
      <c r="F58" s="12">
        <v>3227000</v>
      </c>
      <c r="G58" s="12">
        <v>3797646.6000000006</v>
      </c>
      <c r="H58" s="12">
        <f t="shared" si="19"/>
        <v>-570646.60000000056</v>
      </c>
      <c r="I58" s="13"/>
      <c r="J58" s="12"/>
      <c r="K58" s="12">
        <v>411762.68</v>
      </c>
      <c r="L58" s="12">
        <f t="shared" si="20"/>
        <v>-411762.68</v>
      </c>
      <c r="M58" s="12"/>
      <c r="N58" s="12"/>
      <c r="O58" s="12"/>
      <c r="P58" s="12">
        <f t="shared" si="21"/>
        <v>0</v>
      </c>
      <c r="Q58" s="13"/>
      <c r="R58" s="12">
        <f t="shared" si="22"/>
        <v>3227000</v>
      </c>
      <c r="S58" s="12">
        <f t="shared" si="22"/>
        <v>4209409.28</v>
      </c>
      <c r="T58" s="14">
        <f>+R58-S58</f>
        <v>-982409.28000000026</v>
      </c>
      <c r="U58" s="17">
        <f t="shared" si="7"/>
        <v>1.3044342361326311</v>
      </c>
    </row>
    <row r="59" spans="2:21" ht="29.25" customHeight="1">
      <c r="B59" s="18"/>
      <c r="C59" s="10"/>
      <c r="D59" s="10"/>
      <c r="E59" s="21" t="s">
        <v>58</v>
      </c>
      <c r="F59" s="12">
        <v>6353500</v>
      </c>
      <c r="G59" s="12">
        <v>7305044.0500000007</v>
      </c>
      <c r="H59" s="12">
        <f t="shared" si="19"/>
        <v>-951544.05000000075</v>
      </c>
      <c r="I59" s="13"/>
      <c r="J59" s="12">
        <v>3240116</v>
      </c>
      <c r="K59" s="12">
        <v>3240116</v>
      </c>
      <c r="L59" s="12">
        <f t="shared" si="20"/>
        <v>0</v>
      </c>
      <c r="M59" s="12"/>
      <c r="N59" s="12"/>
      <c r="O59" s="12"/>
      <c r="P59" s="12">
        <f t="shared" si="21"/>
        <v>0</v>
      </c>
      <c r="Q59" s="13"/>
      <c r="R59" s="12">
        <f t="shared" si="22"/>
        <v>9593616</v>
      </c>
      <c r="S59" s="12">
        <f t="shared" si="22"/>
        <v>10545160.050000001</v>
      </c>
      <c r="T59" s="14">
        <f>+R59-S59</f>
        <v>-951544.05000000075</v>
      </c>
      <c r="U59" s="17">
        <f t="shared" si="7"/>
        <v>1.099185129986441</v>
      </c>
    </row>
    <row r="60" spans="2:21" ht="24.95" customHeight="1">
      <c r="B60" s="18"/>
      <c r="C60" s="10"/>
      <c r="D60" s="10"/>
      <c r="E60" s="21"/>
      <c r="F60" s="12"/>
      <c r="G60" s="12"/>
      <c r="H60" s="12"/>
      <c r="I60" s="13"/>
      <c r="J60" s="12"/>
      <c r="K60" s="12"/>
      <c r="L60" s="12"/>
      <c r="M60" s="12"/>
      <c r="N60" s="12"/>
      <c r="O60" s="12"/>
      <c r="P60" s="12"/>
      <c r="Q60" s="13"/>
      <c r="R60" s="12"/>
      <c r="S60" s="12"/>
      <c r="T60" s="14"/>
      <c r="U60" s="17"/>
    </row>
    <row r="61" spans="2:21" ht="24.95" customHeight="1">
      <c r="B61" s="18"/>
      <c r="C61" s="20" t="s">
        <v>59</v>
      </c>
      <c r="D61" s="20"/>
      <c r="E61" s="10"/>
      <c r="F61" s="12"/>
      <c r="G61" s="12"/>
      <c r="H61" s="12"/>
      <c r="I61" s="13"/>
      <c r="J61" s="12"/>
      <c r="K61" s="12"/>
      <c r="L61" s="12"/>
      <c r="M61" s="12"/>
      <c r="N61" s="12"/>
      <c r="O61" s="12"/>
      <c r="P61" s="12"/>
      <c r="Q61" s="13"/>
      <c r="R61" s="12"/>
      <c r="S61" s="12"/>
      <c r="T61" s="14"/>
      <c r="U61" s="17"/>
    </row>
    <row r="62" spans="2:21" ht="24.95" customHeight="1">
      <c r="B62" s="18"/>
      <c r="C62" s="20"/>
      <c r="D62" s="20"/>
      <c r="E62" s="10" t="s">
        <v>60</v>
      </c>
      <c r="F62" s="12">
        <v>77961978</v>
      </c>
      <c r="G62" s="12">
        <v>77961978</v>
      </c>
      <c r="H62" s="12">
        <f>+F62-G62</f>
        <v>0</v>
      </c>
      <c r="I62" s="13"/>
      <c r="J62" s="12">
        <v>74025016</v>
      </c>
      <c r="K62" s="12">
        <f>85920525.06-132750</f>
        <v>85787775.060000002</v>
      </c>
      <c r="L62" s="12">
        <f>+J62-K62</f>
        <v>-11762759.060000002</v>
      </c>
      <c r="M62" s="12"/>
      <c r="N62" s="12"/>
      <c r="O62" s="12"/>
      <c r="P62" s="12">
        <f>+N62-O62</f>
        <v>0</v>
      </c>
      <c r="Q62" s="13"/>
      <c r="R62" s="12">
        <f t="shared" ref="R62:S65" si="23">+F62+J62+N62</f>
        <v>151986994</v>
      </c>
      <c r="S62" s="12">
        <f t="shared" si="23"/>
        <v>163749753.06</v>
      </c>
      <c r="T62" s="14">
        <f>+R62-S62</f>
        <v>-11762759.060000002</v>
      </c>
      <c r="U62" s="17">
        <f t="shared" si="7"/>
        <v>1.0773931949729856</v>
      </c>
    </row>
    <row r="63" spans="2:21" ht="30" customHeight="1">
      <c r="B63" s="18"/>
      <c r="C63" s="10"/>
      <c r="D63" s="10"/>
      <c r="E63" s="21" t="s">
        <v>61</v>
      </c>
      <c r="F63" s="12">
        <v>18897758</v>
      </c>
      <c r="G63" s="12">
        <v>21145930.489999998</v>
      </c>
      <c r="H63" s="12">
        <f>+F63-G63</f>
        <v>-2248172.4899999984</v>
      </c>
      <c r="I63" s="13"/>
      <c r="J63" s="12">
        <v>2700000</v>
      </c>
      <c r="K63" s="12">
        <v>2700000</v>
      </c>
      <c r="L63" s="12">
        <f>+J63-K63</f>
        <v>0</v>
      </c>
      <c r="M63" s="12"/>
      <c r="N63" s="12"/>
      <c r="O63" s="12">
        <v>16737000</v>
      </c>
      <c r="P63" s="12">
        <f>+N63-O63</f>
        <v>-16737000</v>
      </c>
      <c r="Q63" s="13"/>
      <c r="R63" s="12">
        <f t="shared" si="23"/>
        <v>21597758</v>
      </c>
      <c r="S63" s="12">
        <f t="shared" si="23"/>
        <v>40582930.489999995</v>
      </c>
      <c r="T63" s="14">
        <f>+R63-S63</f>
        <v>-18985172.489999995</v>
      </c>
      <c r="U63" s="17">
        <f t="shared" si="7"/>
        <v>1.8790344113495481</v>
      </c>
    </row>
    <row r="64" spans="2:21" ht="30" customHeight="1">
      <c r="B64" s="18"/>
      <c r="C64" s="10"/>
      <c r="D64" s="10"/>
      <c r="E64" s="22" t="s">
        <v>62</v>
      </c>
      <c r="F64" s="12">
        <v>44582793</v>
      </c>
      <c r="G64" s="12">
        <v>45979628.390000001</v>
      </c>
      <c r="H64" s="12">
        <f>+F64-G64</f>
        <v>-1396835.3900000006</v>
      </c>
      <c r="I64" s="13"/>
      <c r="J64" s="12"/>
      <c r="K64" s="12"/>
      <c r="L64" s="12">
        <f>+J64-K64</f>
        <v>0</v>
      </c>
      <c r="M64" s="12"/>
      <c r="N64" s="12"/>
      <c r="O64" s="12">
        <v>2904846.99</v>
      </c>
      <c r="P64" s="12">
        <f>+N64-O64</f>
        <v>-2904846.99</v>
      </c>
      <c r="Q64" s="13"/>
      <c r="R64" s="12">
        <f t="shared" si="23"/>
        <v>44582793</v>
      </c>
      <c r="S64" s="12">
        <f t="shared" si="23"/>
        <v>48884475.380000003</v>
      </c>
      <c r="T64" s="14">
        <f>+R64-S64</f>
        <v>-4301682.3800000027</v>
      </c>
      <c r="U64" s="17">
        <f t="shared" si="7"/>
        <v>1.0964875031494774</v>
      </c>
    </row>
    <row r="65" spans="2:21" ht="30" customHeight="1">
      <c r="B65" s="18"/>
      <c r="C65" s="10"/>
      <c r="D65" s="10"/>
      <c r="E65" s="21" t="s">
        <v>63</v>
      </c>
      <c r="F65" s="12">
        <v>35756825</v>
      </c>
      <c r="G65" s="12">
        <v>35751488.299999997</v>
      </c>
      <c r="H65" s="12">
        <f>+F65-G65</f>
        <v>5336.7000000029802</v>
      </c>
      <c r="I65" s="13"/>
      <c r="J65" s="12">
        <v>4164278</v>
      </c>
      <c r="K65" s="125">
        <f>4164077.73+1450372.97</f>
        <v>5614450.7000000002</v>
      </c>
      <c r="L65" s="12">
        <f>+J65-K65</f>
        <v>-1450172.7000000002</v>
      </c>
      <c r="M65" s="12"/>
      <c r="N65" s="12">
        <v>452444</v>
      </c>
      <c r="O65" s="12"/>
      <c r="P65" s="12">
        <f>+N65-O65</f>
        <v>452444</v>
      </c>
      <c r="Q65" s="13"/>
      <c r="R65" s="12">
        <f t="shared" si="23"/>
        <v>40373547</v>
      </c>
      <c r="S65" s="12">
        <f t="shared" si="23"/>
        <v>41365939</v>
      </c>
      <c r="T65" s="14">
        <f>+R65-S65</f>
        <v>-992392</v>
      </c>
      <c r="U65" s="17">
        <f t="shared" si="7"/>
        <v>1.0245802530057615</v>
      </c>
    </row>
    <row r="66" spans="2:21" ht="24.95" customHeight="1">
      <c r="B66" s="18"/>
      <c r="C66" s="10"/>
      <c r="D66" s="10"/>
      <c r="E66" s="21"/>
      <c r="F66" s="12"/>
      <c r="G66" s="12"/>
      <c r="H66" s="12"/>
      <c r="I66" s="13"/>
      <c r="J66" s="12"/>
      <c r="K66" s="12"/>
      <c r="L66" s="12"/>
      <c r="M66" s="12"/>
      <c r="N66" s="12"/>
      <c r="O66" s="12"/>
      <c r="P66" s="12"/>
      <c r="Q66" s="13"/>
      <c r="R66" s="12"/>
      <c r="S66" s="12"/>
      <c r="T66" s="14"/>
      <c r="U66" s="17"/>
    </row>
    <row r="67" spans="2:21" ht="24.95" customHeight="1">
      <c r="B67" s="18"/>
      <c r="C67" s="20" t="s">
        <v>64</v>
      </c>
      <c r="D67" s="20"/>
      <c r="E67" s="10"/>
      <c r="F67" s="12"/>
      <c r="G67" s="12"/>
      <c r="H67" s="12"/>
      <c r="I67" s="13"/>
      <c r="J67" s="12"/>
      <c r="K67" s="12"/>
      <c r="L67" s="12"/>
      <c r="M67" s="12"/>
      <c r="N67" s="12"/>
      <c r="O67" s="12"/>
      <c r="P67" s="12"/>
      <c r="Q67" s="13"/>
      <c r="R67" s="12"/>
      <c r="S67" s="12"/>
      <c r="T67" s="14"/>
      <c r="U67" s="17"/>
    </row>
    <row r="68" spans="2:21" ht="24.95" customHeight="1">
      <c r="B68" s="18"/>
      <c r="C68" s="20"/>
      <c r="D68" s="20"/>
      <c r="E68" s="10" t="s">
        <v>65</v>
      </c>
      <c r="F68" s="12">
        <v>13534000</v>
      </c>
      <c r="G68" s="12">
        <v>28561460.899999999</v>
      </c>
      <c r="H68" s="12">
        <f>+F68-G68</f>
        <v>-15027460.899999999</v>
      </c>
      <c r="I68" s="13"/>
      <c r="J68" s="12">
        <v>54000000</v>
      </c>
      <c r="K68" s="12">
        <v>115008226.45</v>
      </c>
      <c r="L68" s="12">
        <f>+J68-K68</f>
        <v>-61008226.450000003</v>
      </c>
      <c r="M68" s="12"/>
      <c r="N68" s="12"/>
      <c r="O68" s="12">
        <v>666384.5</v>
      </c>
      <c r="P68" s="12">
        <f>+N68-O68</f>
        <v>-666384.5</v>
      </c>
      <c r="Q68" s="13"/>
      <c r="R68" s="12">
        <f t="shared" ref="R68:S72" si="24">+F68+J68+N68</f>
        <v>67534000</v>
      </c>
      <c r="S68" s="12">
        <f t="shared" si="24"/>
        <v>144236071.84999999</v>
      </c>
      <c r="T68" s="14">
        <f>+R68-S68</f>
        <v>-76702071.849999994</v>
      </c>
      <c r="U68" s="17">
        <f t="shared" si="7"/>
        <v>2.1357549064175081</v>
      </c>
    </row>
    <row r="69" spans="2:21" ht="30.75" customHeight="1">
      <c r="B69" s="18"/>
      <c r="C69" s="10"/>
      <c r="D69" s="10"/>
      <c r="E69" s="21" t="s">
        <v>66</v>
      </c>
      <c r="F69" s="12">
        <v>69876224</v>
      </c>
      <c r="G69" s="12">
        <v>35452533.799999997</v>
      </c>
      <c r="H69" s="12">
        <f>+F69-G69</f>
        <v>34423690.200000003</v>
      </c>
      <c r="I69" s="13"/>
      <c r="J69" s="12">
        <v>4181962</v>
      </c>
      <c r="K69" s="12">
        <v>4181891.17</v>
      </c>
      <c r="L69" s="12">
        <f>+J69-K69</f>
        <v>70.830000000074506</v>
      </c>
      <c r="M69" s="12"/>
      <c r="N69" s="12"/>
      <c r="O69" s="12"/>
      <c r="P69" s="12">
        <f>+N69-O69</f>
        <v>0</v>
      </c>
      <c r="Q69" s="13"/>
      <c r="R69" s="12">
        <f t="shared" si="24"/>
        <v>74058186</v>
      </c>
      <c r="S69" s="12">
        <f t="shared" si="24"/>
        <v>39634424.969999999</v>
      </c>
      <c r="T69" s="14">
        <f>+R69-S69</f>
        <v>34423761.030000001</v>
      </c>
      <c r="U69" s="17">
        <f t="shared" si="7"/>
        <v>0.5351795272166131</v>
      </c>
    </row>
    <row r="70" spans="2:21" ht="30.75" customHeight="1">
      <c r="B70" s="18"/>
      <c r="C70" s="10"/>
      <c r="D70" s="10"/>
      <c r="E70" s="21" t="s">
        <v>67</v>
      </c>
      <c r="F70" s="12">
        <v>28694460</v>
      </c>
      <c r="G70" s="12">
        <v>33987726.210000001</v>
      </c>
      <c r="H70" s="12">
        <f>+F70-G70</f>
        <v>-5293266.2100000009</v>
      </c>
      <c r="I70" s="13"/>
      <c r="J70" s="12">
        <v>11290134</v>
      </c>
      <c r="K70" s="12">
        <v>6764699.4299999997</v>
      </c>
      <c r="L70" s="12">
        <f>+J70-K70</f>
        <v>4525434.57</v>
      </c>
      <c r="M70" s="12"/>
      <c r="N70" s="12">
        <v>271316</v>
      </c>
      <c r="O70" s="12">
        <v>271315.20000000001</v>
      </c>
      <c r="P70" s="12">
        <f>+N70-O70</f>
        <v>0.79999999998835847</v>
      </c>
      <c r="Q70" s="13"/>
      <c r="R70" s="12">
        <f t="shared" si="24"/>
        <v>40255910</v>
      </c>
      <c r="S70" s="12">
        <f t="shared" si="24"/>
        <v>41023740.840000004</v>
      </c>
      <c r="T70" s="14">
        <f>+R70-S70</f>
        <v>-767830.84000000358</v>
      </c>
      <c r="U70" s="17">
        <f t="shared" si="7"/>
        <v>1.0190737419673286</v>
      </c>
    </row>
    <row r="71" spans="2:21" ht="30.75" customHeight="1">
      <c r="B71" s="18"/>
      <c r="C71" s="10"/>
      <c r="D71" s="10"/>
      <c r="E71" s="22" t="s">
        <v>68</v>
      </c>
      <c r="F71" s="12">
        <v>8980938</v>
      </c>
      <c r="G71" s="12">
        <v>9809345.5299999993</v>
      </c>
      <c r="H71" s="12">
        <f>+F71-G71</f>
        <v>-828407.52999999933</v>
      </c>
      <c r="I71" s="13"/>
      <c r="J71" s="12">
        <v>4420792</v>
      </c>
      <c r="K71" s="12">
        <v>4362929.3600000003</v>
      </c>
      <c r="L71" s="12">
        <f>+J71-K71</f>
        <v>57862.639999999665</v>
      </c>
      <c r="M71" s="12"/>
      <c r="N71" s="12"/>
      <c r="O71" s="12"/>
      <c r="P71" s="12">
        <f>+N71-O71</f>
        <v>0</v>
      </c>
      <c r="Q71" s="13"/>
      <c r="R71" s="12">
        <f t="shared" si="24"/>
        <v>13401730</v>
      </c>
      <c r="S71" s="12">
        <f t="shared" si="24"/>
        <v>14172274.890000001</v>
      </c>
      <c r="T71" s="14">
        <f>+R71-S71</f>
        <v>-770544.8900000006</v>
      </c>
      <c r="U71" s="17">
        <f t="shared" si="7"/>
        <v>1.0574959270183775</v>
      </c>
    </row>
    <row r="72" spans="2:21" ht="24.95" customHeight="1">
      <c r="B72" s="18"/>
      <c r="C72" s="10"/>
      <c r="D72" s="10"/>
      <c r="E72" s="41" t="s">
        <v>69</v>
      </c>
      <c r="F72" s="12">
        <v>6867989</v>
      </c>
      <c r="G72" s="12">
        <v>5877129.4199999999</v>
      </c>
      <c r="H72" s="12">
        <f>+F72-G72</f>
        <v>990859.58000000007</v>
      </c>
      <c r="I72" s="13"/>
      <c r="J72" s="12"/>
      <c r="K72" s="12"/>
      <c r="L72" s="12">
        <f>+J72-K72</f>
        <v>0</v>
      </c>
      <c r="M72" s="12"/>
      <c r="N72" s="12">
        <v>6729000</v>
      </c>
      <c r="O72" s="12"/>
      <c r="P72" s="12">
        <f>+N72-O72</f>
        <v>6729000</v>
      </c>
      <c r="Q72" s="13"/>
      <c r="R72" s="12">
        <f t="shared" si="24"/>
        <v>13596989</v>
      </c>
      <c r="S72" s="12">
        <f t="shared" si="24"/>
        <v>5877129.4199999999</v>
      </c>
      <c r="T72" s="14">
        <f>+R72-S72</f>
        <v>7719859.5800000001</v>
      </c>
      <c r="U72" s="17">
        <f t="shared" si="7"/>
        <v>0.43223756524330498</v>
      </c>
    </row>
    <row r="73" spans="2:21" ht="24.95" customHeight="1">
      <c r="B73" s="18"/>
      <c r="C73" s="10"/>
      <c r="D73" s="10"/>
      <c r="E73" s="41"/>
      <c r="F73" s="12"/>
      <c r="G73" s="12"/>
      <c r="H73" s="12"/>
      <c r="I73" s="13"/>
      <c r="J73" s="12"/>
      <c r="K73" s="12"/>
      <c r="L73" s="12"/>
      <c r="M73" s="12"/>
      <c r="N73" s="12"/>
      <c r="O73" s="12"/>
      <c r="P73" s="12"/>
      <c r="Q73" s="13"/>
      <c r="R73" s="12"/>
      <c r="S73" s="12"/>
      <c r="T73" s="14"/>
      <c r="U73" s="17"/>
    </row>
    <row r="74" spans="2:21" ht="24.95" customHeight="1">
      <c r="B74" s="18"/>
      <c r="C74" s="20" t="s">
        <v>70</v>
      </c>
      <c r="D74" s="20"/>
      <c r="E74" s="10"/>
      <c r="F74" s="12"/>
      <c r="G74" s="12"/>
      <c r="H74" s="12"/>
      <c r="I74" s="13"/>
      <c r="J74" s="12"/>
      <c r="K74" s="12"/>
      <c r="L74" s="12"/>
      <c r="M74" s="12"/>
      <c r="N74" s="12"/>
      <c r="O74" s="12"/>
      <c r="P74" s="12"/>
      <c r="Q74" s="13"/>
      <c r="R74" s="12"/>
      <c r="S74" s="12"/>
      <c r="T74" s="14"/>
      <c r="U74" s="17"/>
    </row>
    <row r="75" spans="2:21" ht="24.95" customHeight="1">
      <c r="B75" s="18"/>
      <c r="C75" s="20"/>
      <c r="D75" s="20"/>
      <c r="E75" s="10" t="s">
        <v>71</v>
      </c>
      <c r="F75" s="12">
        <v>55622590</v>
      </c>
      <c r="G75" s="12">
        <v>221106133.65000001</v>
      </c>
      <c r="H75" s="12">
        <f t="shared" ref="H75:H80" si="25">+F75-G75</f>
        <v>-165483543.65000001</v>
      </c>
      <c r="I75" s="13"/>
      <c r="J75" s="12">
        <v>4715874</v>
      </c>
      <c r="K75" s="12">
        <v>5938587.2200000007</v>
      </c>
      <c r="L75" s="12">
        <f t="shared" ref="L75:L80" si="26">+J75-K75</f>
        <v>-1222713.2200000007</v>
      </c>
      <c r="M75" s="12"/>
      <c r="N75" s="12"/>
      <c r="O75" s="12"/>
      <c r="P75" s="12">
        <f t="shared" ref="P75:P80" si="27">+N75-O75</f>
        <v>0</v>
      </c>
      <c r="Q75" s="13"/>
      <c r="R75" s="12">
        <f t="shared" ref="R75:S80" si="28">+F75+J75+N75</f>
        <v>60338464</v>
      </c>
      <c r="S75" s="12">
        <f t="shared" si="28"/>
        <v>227044720.87</v>
      </c>
      <c r="T75" s="14">
        <f t="shared" ref="T75:T80" si="29">+R75-S75</f>
        <v>-166706256.87</v>
      </c>
      <c r="U75" s="17">
        <f t="shared" ref="U75:U137" si="30">+S75/R75</f>
        <v>3.7628521811559539</v>
      </c>
    </row>
    <row r="76" spans="2:21" ht="28.5" customHeight="1">
      <c r="B76" s="18"/>
      <c r="C76" s="10"/>
      <c r="D76" s="10"/>
      <c r="E76" s="21" t="s">
        <v>72</v>
      </c>
      <c r="F76" s="12">
        <v>42409390</v>
      </c>
      <c r="G76" s="12">
        <v>50830525.090000004</v>
      </c>
      <c r="H76" s="12">
        <f t="shared" si="25"/>
        <v>-8421135.0900000036</v>
      </c>
      <c r="I76" s="13"/>
      <c r="J76" s="12"/>
      <c r="K76" s="12"/>
      <c r="L76" s="12">
        <f t="shared" si="26"/>
        <v>0</v>
      </c>
      <c r="M76" s="12"/>
      <c r="N76" s="12"/>
      <c r="O76" s="12"/>
      <c r="P76" s="12">
        <f t="shared" si="27"/>
        <v>0</v>
      </c>
      <c r="Q76" s="13"/>
      <c r="R76" s="12">
        <f t="shared" si="28"/>
        <v>42409390</v>
      </c>
      <c r="S76" s="12">
        <f t="shared" si="28"/>
        <v>50830525.090000004</v>
      </c>
      <c r="T76" s="14">
        <f t="shared" si="29"/>
        <v>-8421135.0900000036</v>
      </c>
      <c r="U76" s="17">
        <f t="shared" si="30"/>
        <v>1.1985677013982046</v>
      </c>
    </row>
    <row r="77" spans="2:21" ht="28.5" customHeight="1">
      <c r="B77" s="18"/>
      <c r="C77" s="10"/>
      <c r="D77" s="10"/>
      <c r="E77" s="21" t="s">
        <v>73</v>
      </c>
      <c r="F77" s="12">
        <f>2227000+215000</f>
        <v>2442000</v>
      </c>
      <c r="G77" s="12">
        <f>6375076.7+208500</f>
        <v>6583576.7000000002</v>
      </c>
      <c r="H77" s="12">
        <f t="shared" si="25"/>
        <v>-4141576.7</v>
      </c>
      <c r="I77" s="13"/>
      <c r="J77" s="12"/>
      <c r="K77" s="12"/>
      <c r="L77" s="12">
        <f t="shared" si="26"/>
        <v>0</v>
      </c>
      <c r="M77" s="12"/>
      <c r="N77" s="12"/>
      <c r="O77" s="12"/>
      <c r="P77" s="12">
        <f t="shared" si="27"/>
        <v>0</v>
      </c>
      <c r="Q77" s="13"/>
      <c r="R77" s="12">
        <f t="shared" si="28"/>
        <v>2442000</v>
      </c>
      <c r="S77" s="12">
        <f t="shared" si="28"/>
        <v>6583576.7000000002</v>
      </c>
      <c r="T77" s="14">
        <f t="shared" si="29"/>
        <v>-4141576.7</v>
      </c>
      <c r="U77" s="17">
        <f t="shared" si="30"/>
        <v>2.6959773546273547</v>
      </c>
    </row>
    <row r="78" spans="2:21" ht="28.5" customHeight="1">
      <c r="B78" s="18"/>
      <c r="C78" s="10"/>
      <c r="D78" s="10"/>
      <c r="E78" s="21" t="s">
        <v>74</v>
      </c>
      <c r="F78" s="12">
        <v>70221061</v>
      </c>
      <c r="G78" s="12">
        <v>80342425.370000005</v>
      </c>
      <c r="H78" s="12">
        <f t="shared" si="25"/>
        <v>-10121364.370000005</v>
      </c>
      <c r="I78" s="13"/>
      <c r="J78" s="12"/>
      <c r="K78" s="12"/>
      <c r="L78" s="12">
        <f t="shared" si="26"/>
        <v>0</v>
      </c>
      <c r="M78" s="12"/>
      <c r="N78" s="12"/>
      <c r="O78" s="12"/>
      <c r="P78" s="12">
        <f t="shared" si="27"/>
        <v>0</v>
      </c>
      <c r="Q78" s="13"/>
      <c r="R78" s="12">
        <f t="shared" si="28"/>
        <v>70221061</v>
      </c>
      <c r="S78" s="12">
        <f t="shared" si="28"/>
        <v>80342425.370000005</v>
      </c>
      <c r="T78" s="14">
        <f t="shared" si="29"/>
        <v>-10121364.370000005</v>
      </c>
      <c r="U78" s="17">
        <f t="shared" si="30"/>
        <v>1.1441357368553575</v>
      </c>
    </row>
    <row r="79" spans="2:21" ht="24.95" customHeight="1">
      <c r="B79" s="18"/>
      <c r="C79" s="10"/>
      <c r="D79" s="10"/>
      <c r="E79" s="28" t="s">
        <v>75</v>
      </c>
      <c r="F79" s="12">
        <v>17927000</v>
      </c>
      <c r="G79" s="12">
        <v>19957454.420000002</v>
      </c>
      <c r="H79" s="12">
        <f t="shared" si="25"/>
        <v>-2030454.4200000018</v>
      </c>
      <c r="I79" s="13"/>
      <c r="J79" s="12"/>
      <c r="K79" s="12"/>
      <c r="L79" s="12">
        <f t="shared" si="26"/>
        <v>0</v>
      </c>
      <c r="M79" s="12"/>
      <c r="N79" s="12"/>
      <c r="O79" s="12">
        <v>142719.14000000001</v>
      </c>
      <c r="P79" s="12">
        <f t="shared" si="27"/>
        <v>-142719.14000000001</v>
      </c>
      <c r="Q79" s="13"/>
      <c r="R79" s="12">
        <f t="shared" si="28"/>
        <v>17927000</v>
      </c>
      <c r="S79" s="12">
        <f t="shared" si="28"/>
        <v>20100173.560000002</v>
      </c>
      <c r="T79" s="14">
        <f t="shared" si="29"/>
        <v>-2173173.5600000024</v>
      </c>
      <c r="U79" s="17">
        <f t="shared" si="30"/>
        <v>1.1212234930551683</v>
      </c>
    </row>
    <row r="80" spans="2:21" ht="24.95" customHeight="1">
      <c r="B80" s="18"/>
      <c r="C80" s="10"/>
      <c r="D80" s="10"/>
      <c r="E80" s="22" t="s">
        <v>76</v>
      </c>
      <c r="F80" s="12">
        <v>19430993</v>
      </c>
      <c r="G80" s="12">
        <v>19022755.07</v>
      </c>
      <c r="H80" s="12">
        <f t="shared" si="25"/>
        <v>408237.9299999997</v>
      </c>
      <c r="I80" s="13"/>
      <c r="J80" s="12"/>
      <c r="K80" s="12"/>
      <c r="L80" s="12">
        <f t="shared" si="26"/>
        <v>0</v>
      </c>
      <c r="M80" s="12"/>
      <c r="N80" s="12"/>
      <c r="O80" s="12"/>
      <c r="P80" s="12">
        <f t="shared" si="27"/>
        <v>0</v>
      </c>
      <c r="Q80" s="13"/>
      <c r="R80" s="12">
        <f t="shared" si="28"/>
        <v>19430993</v>
      </c>
      <c r="S80" s="12">
        <f t="shared" si="28"/>
        <v>19022755.07</v>
      </c>
      <c r="T80" s="14">
        <f t="shared" si="29"/>
        <v>408237.9299999997</v>
      </c>
      <c r="U80" s="17">
        <f t="shared" si="30"/>
        <v>0.97899037223676633</v>
      </c>
    </row>
    <row r="81" spans="2:21" ht="27.75" customHeight="1">
      <c r="B81" s="18"/>
      <c r="C81" s="10"/>
      <c r="D81" s="10"/>
      <c r="E81" s="31" t="s">
        <v>51</v>
      </c>
      <c r="F81" s="32">
        <f>SUM(F55:F80)</f>
        <v>651987499</v>
      </c>
      <c r="G81" s="32">
        <f t="shared" ref="G81:S81" si="31">SUM(G55:G80)</f>
        <v>830007947.9000001</v>
      </c>
      <c r="H81" s="32">
        <f t="shared" si="31"/>
        <v>-178020448.89999998</v>
      </c>
      <c r="I81" s="32">
        <f t="shared" si="31"/>
        <v>0</v>
      </c>
      <c r="J81" s="32">
        <f>SUM(J55:J80)</f>
        <v>186603658</v>
      </c>
      <c r="K81" s="32">
        <f t="shared" ref="K81" si="32">SUM(K55:K80)</f>
        <v>279195724.03000003</v>
      </c>
      <c r="L81" s="32">
        <f>SUM(L55:L80)</f>
        <v>-92592066.030000016</v>
      </c>
      <c r="M81" s="32">
        <f t="shared" si="31"/>
        <v>0</v>
      </c>
      <c r="N81" s="32">
        <f>SUM(N55:N80)</f>
        <v>7452760</v>
      </c>
      <c r="O81" s="32">
        <f t="shared" ref="O81" si="33">SUM(O55:O80)</f>
        <v>20722265.830000002</v>
      </c>
      <c r="P81" s="32">
        <f>SUM(P55:P80)</f>
        <v>-13269505.830000002</v>
      </c>
      <c r="Q81" s="32">
        <f t="shared" si="31"/>
        <v>0</v>
      </c>
      <c r="R81" s="32">
        <f t="shared" si="31"/>
        <v>846043917</v>
      </c>
      <c r="S81" s="32">
        <f t="shared" si="31"/>
        <v>1129925937.76</v>
      </c>
      <c r="T81" s="34">
        <f>SUM(T55:T80)</f>
        <v>-283882020.75999999</v>
      </c>
      <c r="U81" s="17">
        <f t="shared" si="30"/>
        <v>1.3355405257999153</v>
      </c>
    </row>
    <row r="82" spans="2:21" ht="24.95" customHeight="1">
      <c r="B82" s="18"/>
      <c r="C82" s="10"/>
      <c r="D82" s="10"/>
      <c r="E82" s="22"/>
      <c r="F82" s="12"/>
      <c r="G82" s="12"/>
      <c r="H82" s="12"/>
      <c r="I82" s="13"/>
      <c r="J82" s="12"/>
      <c r="K82" s="12"/>
      <c r="L82" s="12"/>
      <c r="M82" s="12"/>
      <c r="N82" s="12"/>
      <c r="O82" s="12"/>
      <c r="P82" s="12"/>
      <c r="Q82" s="13"/>
      <c r="R82" s="12"/>
      <c r="S82" s="12"/>
      <c r="T82" s="14"/>
      <c r="U82" s="17"/>
    </row>
    <row r="83" spans="2:21" ht="24.95" customHeight="1">
      <c r="B83" s="18"/>
      <c r="C83" s="24" t="s">
        <v>77</v>
      </c>
      <c r="D83" s="10"/>
      <c r="E83" s="22"/>
      <c r="F83" s="12">
        <f>SUM(F85:F103)</f>
        <v>371561219</v>
      </c>
      <c r="G83" s="12">
        <f t="shared" ref="G83:T83" si="34">SUM(G85:G103)</f>
        <v>458494163.82000005</v>
      </c>
      <c r="H83" s="12">
        <f t="shared" si="34"/>
        <v>-86932944.819999978</v>
      </c>
      <c r="I83" s="12">
        <f t="shared" si="34"/>
        <v>0</v>
      </c>
      <c r="J83" s="12">
        <f>SUM(J85:J103)</f>
        <v>287695998</v>
      </c>
      <c r="K83" s="12">
        <f t="shared" ref="K83" si="35">SUM(K85:K103)</f>
        <v>435877626.03999996</v>
      </c>
      <c r="L83" s="12">
        <f>SUM(L85:L103)</f>
        <v>-148181628.03999999</v>
      </c>
      <c r="M83" s="12">
        <f t="shared" si="34"/>
        <v>0</v>
      </c>
      <c r="N83" s="12">
        <f>SUM(N85:N103)</f>
        <v>2545342</v>
      </c>
      <c r="O83" s="12">
        <f t="shared" ref="O83" si="36">SUM(O85:O103)</f>
        <v>10758911.359999999</v>
      </c>
      <c r="P83" s="12">
        <f>SUM(P85:P103)</f>
        <v>-8213569.3599999994</v>
      </c>
      <c r="Q83" s="12">
        <f t="shared" si="34"/>
        <v>0</v>
      </c>
      <c r="R83" s="12">
        <f t="shared" si="34"/>
        <v>661802559</v>
      </c>
      <c r="S83" s="12">
        <f t="shared" si="34"/>
        <v>905130701.22000003</v>
      </c>
      <c r="T83" s="14">
        <f t="shared" si="34"/>
        <v>-243328142.22</v>
      </c>
      <c r="U83" s="17">
        <f>+S83/R83</f>
        <v>1.3676748282564439</v>
      </c>
    </row>
    <row r="84" spans="2:21" ht="24.95" customHeight="1">
      <c r="B84" s="18"/>
      <c r="C84" s="20" t="s">
        <v>78</v>
      </c>
      <c r="D84" s="20"/>
      <c r="E84" s="10"/>
      <c r="F84" s="12"/>
      <c r="G84" s="12"/>
      <c r="H84" s="12">
        <f t="shared" ref="H84:H89" si="37">+F84-G84</f>
        <v>0</v>
      </c>
      <c r="I84" s="13"/>
      <c r="J84" s="12"/>
      <c r="K84" s="12"/>
      <c r="L84" s="12">
        <f t="shared" ref="L84:L89" si="38">+J84-K84</f>
        <v>0</v>
      </c>
      <c r="M84" s="12"/>
      <c r="N84" s="12"/>
      <c r="O84" s="12"/>
      <c r="P84" s="12">
        <f t="shared" ref="P84:P89" si="39">+N84-O84</f>
        <v>0</v>
      </c>
      <c r="Q84" s="13"/>
      <c r="R84" s="12"/>
      <c r="S84" s="12"/>
      <c r="T84" s="14"/>
      <c r="U84" s="17"/>
    </row>
    <row r="85" spans="2:21" ht="24.95" customHeight="1">
      <c r="B85" s="18"/>
      <c r="C85" s="20"/>
      <c r="D85" s="20"/>
      <c r="E85" s="10" t="s">
        <v>79</v>
      </c>
      <c r="F85" s="42">
        <v>59746000</v>
      </c>
      <c r="G85" s="12">
        <v>63579854.849999994</v>
      </c>
      <c r="H85" s="12">
        <f t="shared" si="37"/>
        <v>-3833854.849999994</v>
      </c>
      <c r="I85" s="13"/>
      <c r="J85" s="42">
        <v>50000000</v>
      </c>
      <c r="K85" s="12">
        <v>50000000</v>
      </c>
      <c r="L85" s="12">
        <f t="shared" si="38"/>
        <v>0</v>
      </c>
      <c r="M85" s="12"/>
      <c r="N85" s="42"/>
      <c r="O85" s="12">
        <v>8213569.6799999997</v>
      </c>
      <c r="P85" s="12">
        <f t="shared" si="39"/>
        <v>-8213569.6799999997</v>
      </c>
      <c r="Q85" s="13"/>
      <c r="R85" s="12">
        <f t="shared" ref="R85:S89" si="40">+F85+J85+N85</f>
        <v>109746000</v>
      </c>
      <c r="S85" s="12">
        <f t="shared" si="40"/>
        <v>121793424.53</v>
      </c>
      <c r="T85" s="14">
        <f>+R85-S85</f>
        <v>-12047424.530000001</v>
      </c>
      <c r="U85" s="17">
        <f t="shared" si="30"/>
        <v>1.1097755228436572</v>
      </c>
    </row>
    <row r="86" spans="2:21" ht="27" customHeight="1">
      <c r="B86" s="18"/>
      <c r="C86" s="10"/>
      <c r="D86" s="10"/>
      <c r="E86" s="22" t="s">
        <v>80</v>
      </c>
      <c r="F86" s="12">
        <v>42791500</v>
      </c>
      <c r="G86" s="12">
        <v>68888565.859999999</v>
      </c>
      <c r="H86" s="12">
        <f t="shared" si="37"/>
        <v>-26097065.859999999</v>
      </c>
      <c r="I86" s="13"/>
      <c r="J86" s="12"/>
      <c r="K86" s="12"/>
      <c r="L86" s="12">
        <f t="shared" si="38"/>
        <v>0</v>
      </c>
      <c r="M86" s="12"/>
      <c r="N86" s="12"/>
      <c r="O86" s="12"/>
      <c r="P86" s="12">
        <f t="shared" si="39"/>
        <v>0</v>
      </c>
      <c r="Q86" s="13"/>
      <c r="R86" s="12">
        <f t="shared" si="40"/>
        <v>42791500</v>
      </c>
      <c r="S86" s="12">
        <f t="shared" si="40"/>
        <v>68888565.859999999</v>
      </c>
      <c r="T86" s="14">
        <f>+R86-S86</f>
        <v>-26097065.859999999</v>
      </c>
      <c r="U86" s="17">
        <f t="shared" si="30"/>
        <v>1.6098656476169333</v>
      </c>
    </row>
    <row r="87" spans="2:21" ht="27" customHeight="1">
      <c r="B87" s="18"/>
      <c r="C87" s="10"/>
      <c r="D87" s="10"/>
      <c r="E87" s="22" t="s">
        <v>81</v>
      </c>
      <c r="F87" s="12">
        <v>61343690</v>
      </c>
      <c r="G87" s="12">
        <v>54381546.100000001</v>
      </c>
      <c r="H87" s="12">
        <f t="shared" si="37"/>
        <v>6962143.8999999985</v>
      </c>
      <c r="I87" s="13"/>
      <c r="J87" s="12"/>
      <c r="K87" s="12"/>
      <c r="L87" s="12">
        <f t="shared" si="38"/>
        <v>0</v>
      </c>
      <c r="M87" s="12"/>
      <c r="N87" s="12"/>
      <c r="O87" s="12"/>
      <c r="P87" s="12">
        <f t="shared" si="39"/>
        <v>0</v>
      </c>
      <c r="Q87" s="13"/>
      <c r="R87" s="12">
        <f t="shared" si="40"/>
        <v>61343690</v>
      </c>
      <c r="S87" s="12">
        <f t="shared" si="40"/>
        <v>54381546.100000001</v>
      </c>
      <c r="T87" s="14">
        <f>+R87-S87</f>
        <v>6962143.8999999985</v>
      </c>
      <c r="U87" s="17">
        <f t="shared" si="30"/>
        <v>0.88650594869659782</v>
      </c>
    </row>
    <row r="88" spans="2:21" ht="27" customHeight="1">
      <c r="B88" s="18"/>
      <c r="C88" s="10"/>
      <c r="D88" s="10"/>
      <c r="E88" s="22" t="s">
        <v>82</v>
      </c>
      <c r="F88" s="12">
        <v>7378351</v>
      </c>
      <c r="G88" s="12">
        <v>9381217.9299999997</v>
      </c>
      <c r="H88" s="12">
        <f t="shared" si="37"/>
        <v>-2002866.9299999997</v>
      </c>
      <c r="I88" s="13"/>
      <c r="J88" s="12"/>
      <c r="K88" s="12"/>
      <c r="L88" s="12">
        <f t="shared" si="38"/>
        <v>0</v>
      </c>
      <c r="M88" s="12"/>
      <c r="N88" s="12"/>
      <c r="O88" s="12"/>
      <c r="P88" s="12">
        <f t="shared" si="39"/>
        <v>0</v>
      </c>
      <c r="Q88" s="13"/>
      <c r="R88" s="12">
        <f t="shared" si="40"/>
        <v>7378351</v>
      </c>
      <c r="S88" s="12">
        <f t="shared" si="40"/>
        <v>9381217.9299999997</v>
      </c>
      <c r="T88" s="14">
        <f>+R88-S88</f>
        <v>-2002866.9299999997</v>
      </c>
      <c r="U88" s="17">
        <f t="shared" si="30"/>
        <v>1.271451836596009</v>
      </c>
    </row>
    <row r="89" spans="2:21" ht="27" customHeight="1">
      <c r="B89" s="18"/>
      <c r="C89" s="10"/>
      <c r="D89" s="10"/>
      <c r="E89" s="22" t="s">
        <v>83</v>
      </c>
      <c r="F89" s="12">
        <v>2061866</v>
      </c>
      <c r="G89" s="12">
        <v>2402402.65</v>
      </c>
      <c r="H89" s="12">
        <f t="shared" si="37"/>
        <v>-340536.64999999991</v>
      </c>
      <c r="I89" s="13"/>
      <c r="J89" s="12"/>
      <c r="K89" s="12"/>
      <c r="L89" s="12">
        <f t="shared" si="38"/>
        <v>0</v>
      </c>
      <c r="M89" s="12"/>
      <c r="N89" s="12"/>
      <c r="O89" s="12"/>
      <c r="P89" s="12">
        <f t="shared" si="39"/>
        <v>0</v>
      </c>
      <c r="Q89" s="13"/>
      <c r="R89" s="12">
        <f t="shared" si="40"/>
        <v>2061866</v>
      </c>
      <c r="S89" s="12">
        <f t="shared" si="40"/>
        <v>2402402.65</v>
      </c>
      <c r="T89" s="14">
        <f>+R89-S89</f>
        <v>-340536.64999999991</v>
      </c>
      <c r="U89" s="17">
        <f t="shared" si="30"/>
        <v>1.1651594478011664</v>
      </c>
    </row>
    <row r="90" spans="2:21" ht="24.95" customHeight="1">
      <c r="B90" s="18"/>
      <c r="C90" s="10"/>
      <c r="D90" s="10"/>
      <c r="E90" s="22"/>
      <c r="F90" s="12"/>
      <c r="G90" s="12"/>
      <c r="H90" s="12"/>
      <c r="I90" s="13"/>
      <c r="J90" s="12"/>
      <c r="K90" s="12"/>
      <c r="L90" s="12"/>
      <c r="M90" s="12"/>
      <c r="N90" s="12"/>
      <c r="O90" s="12"/>
      <c r="P90" s="12"/>
      <c r="Q90" s="13"/>
      <c r="R90" s="12"/>
      <c r="S90" s="12"/>
      <c r="T90" s="14"/>
      <c r="U90" s="17"/>
    </row>
    <row r="91" spans="2:21" ht="24.95" customHeight="1">
      <c r="B91" s="18"/>
      <c r="C91" s="20" t="s">
        <v>84</v>
      </c>
      <c r="D91" s="20"/>
      <c r="E91" s="10"/>
      <c r="F91" s="12"/>
      <c r="G91" s="12"/>
      <c r="H91" s="12"/>
      <c r="I91" s="13"/>
      <c r="J91" s="12"/>
      <c r="K91" s="12"/>
      <c r="L91" s="12"/>
      <c r="M91" s="12"/>
      <c r="N91" s="12"/>
      <c r="O91" s="12"/>
      <c r="P91" s="12"/>
      <c r="Q91" s="13"/>
      <c r="R91" s="12"/>
      <c r="S91" s="12"/>
      <c r="T91" s="14"/>
      <c r="U91" s="17"/>
    </row>
    <row r="92" spans="2:21" ht="24.95" customHeight="1">
      <c r="B92" s="18"/>
      <c r="C92" s="20"/>
      <c r="D92" s="20"/>
      <c r="E92" s="10" t="s">
        <v>85</v>
      </c>
      <c r="F92" s="12">
        <v>66806860</v>
      </c>
      <c r="G92" s="12">
        <v>73379317.030000001</v>
      </c>
      <c r="H92" s="12">
        <f t="shared" ref="H92:H98" si="41">+F92-G92</f>
        <v>-6572457.0300000012</v>
      </c>
      <c r="I92" s="13"/>
      <c r="J92" s="12">
        <v>120297234</v>
      </c>
      <c r="K92" s="12">
        <v>120297234</v>
      </c>
      <c r="L92" s="12">
        <f t="shared" ref="L92:L98" si="42">+J92-K92</f>
        <v>0</v>
      </c>
      <c r="M92" s="12"/>
      <c r="N92" s="12"/>
      <c r="O92" s="12"/>
      <c r="P92" s="12">
        <f t="shared" ref="P92:P98" si="43">+N92-O92</f>
        <v>0</v>
      </c>
      <c r="Q92" s="13"/>
      <c r="R92" s="12">
        <f t="shared" ref="R92:S97" si="44">+F92+J92+N92</f>
        <v>187104094</v>
      </c>
      <c r="S92" s="12">
        <f t="shared" si="44"/>
        <v>193676551.03</v>
      </c>
      <c r="T92" s="14">
        <f t="shared" ref="T92:T98" si="45">+R92-S92</f>
        <v>-6572457.0300000012</v>
      </c>
      <c r="U92" s="17">
        <f t="shared" si="30"/>
        <v>1.035127275355076</v>
      </c>
    </row>
    <row r="93" spans="2:21" ht="28.5" customHeight="1">
      <c r="B93" s="18"/>
      <c r="C93" s="10"/>
      <c r="D93" s="10"/>
      <c r="E93" s="22" t="s">
        <v>86</v>
      </c>
      <c r="F93" s="12">
        <v>59325109</v>
      </c>
      <c r="G93" s="12">
        <v>67402218.689999998</v>
      </c>
      <c r="H93" s="12">
        <f t="shared" si="41"/>
        <v>-8077109.6899999976</v>
      </c>
      <c r="I93" s="13"/>
      <c r="J93" s="12">
        <v>48048764</v>
      </c>
      <c r="K93" s="12">
        <v>48108556.560000002</v>
      </c>
      <c r="L93" s="12">
        <f t="shared" si="42"/>
        <v>-59792.560000002384</v>
      </c>
      <c r="M93" s="12"/>
      <c r="N93" s="12">
        <v>2545342</v>
      </c>
      <c r="O93" s="12">
        <v>2545341.6800000002</v>
      </c>
      <c r="P93" s="12">
        <f t="shared" si="43"/>
        <v>0.31999999983236194</v>
      </c>
      <c r="Q93" s="13"/>
      <c r="R93" s="12">
        <f t="shared" si="44"/>
        <v>109919215</v>
      </c>
      <c r="S93" s="12">
        <f t="shared" si="44"/>
        <v>118056116.93000001</v>
      </c>
      <c r="T93" s="14">
        <f t="shared" si="45"/>
        <v>-8136901.9300000072</v>
      </c>
      <c r="U93" s="17">
        <f t="shared" si="30"/>
        <v>1.0740262012424306</v>
      </c>
    </row>
    <row r="94" spans="2:21" ht="28.5" customHeight="1">
      <c r="B94" s="18"/>
      <c r="C94" s="10"/>
      <c r="D94" s="10"/>
      <c r="E94" s="22" t="s">
        <v>87</v>
      </c>
      <c r="F94" s="12">
        <v>20831313</v>
      </c>
      <c r="G94" s="12">
        <v>20559203.57</v>
      </c>
      <c r="H94" s="12">
        <f t="shared" si="41"/>
        <v>272109.4299999997</v>
      </c>
      <c r="I94" s="13"/>
      <c r="J94" s="12">
        <v>3000000</v>
      </c>
      <c r="K94" s="12">
        <v>3000000</v>
      </c>
      <c r="L94" s="12">
        <f t="shared" si="42"/>
        <v>0</v>
      </c>
      <c r="M94" s="12"/>
      <c r="N94" s="12"/>
      <c r="O94" s="12"/>
      <c r="P94" s="12">
        <f t="shared" si="43"/>
        <v>0</v>
      </c>
      <c r="Q94" s="13"/>
      <c r="R94" s="12">
        <f t="shared" si="44"/>
        <v>23831313</v>
      </c>
      <c r="S94" s="12">
        <f t="shared" si="44"/>
        <v>23559203.57</v>
      </c>
      <c r="T94" s="14">
        <f t="shared" si="45"/>
        <v>272109.4299999997</v>
      </c>
      <c r="U94" s="17">
        <f t="shared" si="30"/>
        <v>0.98858185321136105</v>
      </c>
    </row>
    <row r="95" spans="2:21" ht="28.5" customHeight="1">
      <c r="B95" s="18"/>
      <c r="C95" s="10"/>
      <c r="D95" s="10"/>
      <c r="E95" s="22" t="s">
        <v>88</v>
      </c>
      <c r="F95" s="12">
        <v>3737082</v>
      </c>
      <c r="G95" s="12">
        <v>4346425.47</v>
      </c>
      <c r="H95" s="12">
        <f t="shared" si="41"/>
        <v>-609343.46999999974</v>
      </c>
      <c r="I95" s="13"/>
      <c r="J95" s="12"/>
      <c r="K95" s="12"/>
      <c r="L95" s="12">
        <f t="shared" si="42"/>
        <v>0</v>
      </c>
      <c r="M95" s="12"/>
      <c r="N95" s="12"/>
      <c r="O95" s="12"/>
      <c r="P95" s="12">
        <f t="shared" si="43"/>
        <v>0</v>
      </c>
      <c r="Q95" s="13"/>
      <c r="R95" s="12">
        <f t="shared" si="44"/>
        <v>3737082</v>
      </c>
      <c r="S95" s="12">
        <f t="shared" si="44"/>
        <v>4346425.47</v>
      </c>
      <c r="T95" s="14">
        <f t="shared" si="45"/>
        <v>-609343.46999999974</v>
      </c>
      <c r="U95" s="17">
        <f t="shared" si="30"/>
        <v>1.1630532779318195</v>
      </c>
    </row>
    <row r="96" spans="2:21" ht="24.95" customHeight="1">
      <c r="B96" s="18"/>
      <c r="C96" s="10"/>
      <c r="D96" s="10"/>
      <c r="E96" s="22" t="s">
        <v>89</v>
      </c>
      <c r="F96" s="12">
        <v>4155702</v>
      </c>
      <c r="G96" s="12">
        <v>4155702</v>
      </c>
      <c r="H96" s="12">
        <f t="shared" si="41"/>
        <v>0</v>
      </c>
      <c r="I96" s="13"/>
      <c r="J96" s="12">
        <v>1350000</v>
      </c>
      <c r="K96" s="12">
        <v>1350000</v>
      </c>
      <c r="L96" s="12">
        <f t="shared" si="42"/>
        <v>0</v>
      </c>
      <c r="M96" s="12"/>
      <c r="N96" s="12"/>
      <c r="O96" s="12"/>
      <c r="P96" s="12">
        <f t="shared" si="43"/>
        <v>0</v>
      </c>
      <c r="Q96" s="13"/>
      <c r="R96" s="12">
        <f t="shared" si="44"/>
        <v>5505702</v>
      </c>
      <c r="S96" s="12">
        <f t="shared" si="44"/>
        <v>5505702</v>
      </c>
      <c r="T96" s="14">
        <f t="shared" si="45"/>
        <v>0</v>
      </c>
      <c r="U96" s="17">
        <f t="shared" si="30"/>
        <v>1</v>
      </c>
    </row>
    <row r="97" spans="2:25" ht="24.95" customHeight="1">
      <c r="B97" s="18"/>
      <c r="C97" s="10"/>
      <c r="D97" s="10"/>
      <c r="E97" s="28" t="s">
        <v>90</v>
      </c>
      <c r="F97" s="12">
        <v>1679000</v>
      </c>
      <c r="G97" s="12">
        <v>7832311.0999999996</v>
      </c>
      <c r="H97" s="12">
        <f t="shared" si="41"/>
        <v>-6153311.0999999996</v>
      </c>
      <c r="I97" s="13"/>
      <c r="J97" s="12"/>
      <c r="K97" s="12"/>
      <c r="L97" s="12">
        <f t="shared" si="42"/>
        <v>0</v>
      </c>
      <c r="M97" s="12"/>
      <c r="N97" s="12"/>
      <c r="O97" s="12"/>
      <c r="P97" s="12">
        <f t="shared" si="43"/>
        <v>0</v>
      </c>
      <c r="Q97" s="13"/>
      <c r="R97" s="12">
        <f t="shared" si="44"/>
        <v>1679000</v>
      </c>
      <c r="S97" s="12">
        <f t="shared" si="44"/>
        <v>7832311.0999999996</v>
      </c>
      <c r="T97" s="14">
        <f t="shared" si="45"/>
        <v>-6153311.0999999996</v>
      </c>
      <c r="U97" s="17">
        <f t="shared" si="30"/>
        <v>4.6648666468135795</v>
      </c>
    </row>
    <row r="98" spans="2:25" ht="28.5" customHeight="1">
      <c r="B98" s="18"/>
      <c r="C98" s="10"/>
      <c r="D98" s="10"/>
      <c r="E98" s="43" t="s">
        <v>91</v>
      </c>
      <c r="F98" s="12">
        <v>2543000</v>
      </c>
      <c r="G98" s="12">
        <v>5978849.8300000001</v>
      </c>
      <c r="H98" s="12">
        <f t="shared" si="41"/>
        <v>-3435849.83</v>
      </c>
      <c r="I98" s="13"/>
      <c r="J98" s="12"/>
      <c r="K98" s="12"/>
      <c r="L98" s="12">
        <f t="shared" si="42"/>
        <v>0</v>
      </c>
      <c r="M98" s="12"/>
      <c r="N98" s="12"/>
      <c r="O98" s="12"/>
      <c r="P98" s="12">
        <f t="shared" si="43"/>
        <v>0</v>
      </c>
      <c r="Q98" s="13"/>
      <c r="R98" s="12">
        <f>+F98+J98+N98</f>
        <v>2543000</v>
      </c>
      <c r="S98" s="12">
        <f>+G98+K98+O98</f>
        <v>5978849.8300000001</v>
      </c>
      <c r="T98" s="14">
        <f t="shared" si="45"/>
        <v>-3435849.83</v>
      </c>
      <c r="U98" s="17">
        <f t="shared" si="30"/>
        <v>2.3511009948879278</v>
      </c>
    </row>
    <row r="99" spans="2:25" ht="24.95" customHeight="1">
      <c r="B99" s="18"/>
      <c r="C99" s="10"/>
      <c r="D99" s="10"/>
      <c r="E99" s="43"/>
      <c r="F99" s="12"/>
      <c r="G99" s="12"/>
      <c r="H99" s="12"/>
      <c r="I99" s="13"/>
      <c r="J99" s="12"/>
      <c r="K99" s="12"/>
      <c r="L99" s="12"/>
      <c r="M99" s="12"/>
      <c r="N99" s="12"/>
      <c r="O99" s="12"/>
      <c r="P99" s="12"/>
      <c r="Q99" s="13"/>
      <c r="R99" s="12"/>
      <c r="S99" s="12"/>
      <c r="T99" s="14"/>
      <c r="U99" s="17"/>
    </row>
    <row r="100" spans="2:25" ht="24.95" customHeight="1">
      <c r="B100" s="18"/>
      <c r="C100" s="20" t="s">
        <v>92</v>
      </c>
      <c r="D100" s="20"/>
      <c r="E100" s="10"/>
      <c r="F100" s="12"/>
      <c r="G100" s="12"/>
      <c r="H100" s="12"/>
      <c r="I100" s="13"/>
      <c r="J100" s="12"/>
      <c r="K100" s="12"/>
      <c r="L100" s="12"/>
      <c r="M100" s="12"/>
      <c r="N100" s="12"/>
      <c r="O100" s="12"/>
      <c r="P100" s="12"/>
      <c r="Q100" s="13"/>
      <c r="R100" s="12"/>
      <c r="S100" s="12"/>
      <c r="T100" s="14"/>
      <c r="U100" s="17"/>
    </row>
    <row r="101" spans="2:25" ht="24.95" customHeight="1">
      <c r="B101" s="18"/>
      <c r="C101" s="20"/>
      <c r="D101" s="20"/>
      <c r="E101" s="10" t="s">
        <v>93</v>
      </c>
      <c r="F101" s="12">
        <v>12640000</v>
      </c>
      <c r="G101" s="12">
        <v>12640000</v>
      </c>
      <c r="H101" s="12">
        <f>+F101-G101</f>
        <v>0</v>
      </c>
      <c r="I101" s="13"/>
      <c r="J101" s="12"/>
      <c r="K101" s="12">
        <v>177118596.63999999</v>
      </c>
      <c r="L101" s="12">
        <f>+J101-K101</f>
        <v>-177118596.63999999</v>
      </c>
      <c r="M101" s="12"/>
      <c r="N101" s="12"/>
      <c r="O101" s="12"/>
      <c r="P101" s="12">
        <f>+N101-O101</f>
        <v>0</v>
      </c>
      <c r="Q101" s="13"/>
      <c r="R101" s="12">
        <f t="shared" ref="R101:S103" si="46">+F101+J101+N101</f>
        <v>12640000</v>
      </c>
      <c r="S101" s="12">
        <f t="shared" si="46"/>
        <v>189758596.63999999</v>
      </c>
      <c r="T101" s="14">
        <f>+R101-S101</f>
        <v>-177118596.63999999</v>
      </c>
      <c r="U101" s="17">
        <f t="shared" si="30"/>
        <v>15.012547202531644</v>
      </c>
    </row>
    <row r="102" spans="2:25" ht="29.25" customHeight="1">
      <c r="B102" s="18"/>
      <c r="C102" s="10"/>
      <c r="D102" s="10"/>
      <c r="E102" s="22" t="s">
        <v>94</v>
      </c>
      <c r="F102" s="12">
        <v>22681217</v>
      </c>
      <c r="G102" s="12">
        <v>60562886.969999999</v>
      </c>
      <c r="H102" s="12">
        <f>+F102-G102</f>
        <v>-37881669.969999999</v>
      </c>
      <c r="I102" s="13"/>
      <c r="J102" s="12">
        <v>65000000</v>
      </c>
      <c r="K102" s="12">
        <v>35653238.840000004</v>
      </c>
      <c r="L102" s="12">
        <f>+J102-K102</f>
        <v>29346761.159999996</v>
      </c>
      <c r="M102" s="12"/>
      <c r="N102" s="12"/>
      <c r="O102" s="12"/>
      <c r="P102" s="12">
        <f>+N102-O102</f>
        <v>0</v>
      </c>
      <c r="Q102" s="13"/>
      <c r="R102" s="12">
        <f t="shared" si="46"/>
        <v>87681217</v>
      </c>
      <c r="S102" s="12">
        <f t="shared" si="46"/>
        <v>96216125.810000002</v>
      </c>
      <c r="T102" s="14">
        <f>+R102-S102</f>
        <v>-8534908.8100000024</v>
      </c>
      <c r="U102" s="17">
        <f t="shared" si="30"/>
        <v>1.0973402183731096</v>
      </c>
    </row>
    <row r="103" spans="2:25" ht="29.25" customHeight="1">
      <c r="B103" s="18"/>
      <c r="C103" s="10"/>
      <c r="D103" s="10"/>
      <c r="E103" s="22" t="s">
        <v>95</v>
      </c>
      <c r="F103" s="12">
        <v>3840529</v>
      </c>
      <c r="G103" s="12">
        <v>3003661.77</v>
      </c>
      <c r="H103" s="12">
        <f>+F103-G103</f>
        <v>836867.23</v>
      </c>
      <c r="I103" s="13"/>
      <c r="J103" s="12"/>
      <c r="K103" s="12">
        <v>350000</v>
      </c>
      <c r="L103" s="12">
        <f>+J103-K103</f>
        <v>-350000</v>
      </c>
      <c r="M103" s="12"/>
      <c r="N103" s="12"/>
      <c r="O103" s="12"/>
      <c r="P103" s="12">
        <f>+N103-O103</f>
        <v>0</v>
      </c>
      <c r="Q103" s="13"/>
      <c r="R103" s="12">
        <f t="shared" si="46"/>
        <v>3840529</v>
      </c>
      <c r="S103" s="12">
        <f t="shared" si="46"/>
        <v>3353661.77</v>
      </c>
      <c r="T103" s="14">
        <f>+R103-S103</f>
        <v>486867.23</v>
      </c>
      <c r="U103" s="17">
        <f t="shared" si="30"/>
        <v>0.87322912286302223</v>
      </c>
    </row>
    <row r="104" spans="2:25" ht="27.75" customHeight="1">
      <c r="B104" s="18"/>
      <c r="C104" s="10"/>
      <c r="D104" s="10"/>
      <c r="E104" s="31" t="s">
        <v>51</v>
      </c>
      <c r="F104" s="32">
        <f>SUM(F85:F103)</f>
        <v>371561219</v>
      </c>
      <c r="G104" s="32">
        <f t="shared" ref="G104:S104" si="47">SUM(G85:G103)</f>
        <v>458494163.82000005</v>
      </c>
      <c r="H104" s="32">
        <f t="shared" si="47"/>
        <v>-86932944.819999978</v>
      </c>
      <c r="I104" s="32">
        <f t="shared" si="47"/>
        <v>0</v>
      </c>
      <c r="J104" s="32">
        <f>SUM(J85:J103)</f>
        <v>287695998</v>
      </c>
      <c r="K104" s="32">
        <f t="shared" ref="K104" si="48">SUM(K85:K103)</f>
        <v>435877626.03999996</v>
      </c>
      <c r="L104" s="32">
        <f>SUM(L85:L103)</f>
        <v>-148181628.03999999</v>
      </c>
      <c r="M104" s="32">
        <f t="shared" si="47"/>
        <v>0</v>
      </c>
      <c r="N104" s="32">
        <f>SUM(N85:N103)</f>
        <v>2545342</v>
      </c>
      <c r="O104" s="32">
        <f t="shared" ref="O104" si="49">SUM(O85:O103)</f>
        <v>10758911.359999999</v>
      </c>
      <c r="P104" s="32">
        <f>SUM(P85:P103)</f>
        <v>-8213569.3599999994</v>
      </c>
      <c r="Q104" s="32">
        <f t="shared" si="47"/>
        <v>0</v>
      </c>
      <c r="R104" s="32">
        <f t="shared" si="47"/>
        <v>661802559</v>
      </c>
      <c r="S104" s="32">
        <f t="shared" si="47"/>
        <v>905130701.22000003</v>
      </c>
      <c r="T104" s="34">
        <f>SUM(T85:T103)</f>
        <v>-243328142.22</v>
      </c>
      <c r="U104" s="17">
        <f t="shared" si="30"/>
        <v>1.3676748282564439</v>
      </c>
    </row>
    <row r="105" spans="2:25" ht="24.95" customHeight="1">
      <c r="B105" s="18"/>
      <c r="C105" s="10"/>
      <c r="D105" s="10"/>
      <c r="E105" s="22"/>
      <c r="F105" s="12"/>
      <c r="G105" s="12"/>
      <c r="H105" s="12"/>
      <c r="I105" s="13"/>
      <c r="J105" s="12"/>
      <c r="K105" s="12"/>
      <c r="L105" s="12"/>
      <c r="M105" s="12"/>
      <c r="N105" s="12"/>
      <c r="O105" s="12"/>
      <c r="P105" s="12"/>
      <c r="Q105" s="13"/>
      <c r="R105" s="12"/>
      <c r="S105" s="12"/>
      <c r="T105" s="14"/>
      <c r="U105" s="17"/>
      <c r="Y105" s="2" t="s">
        <v>96</v>
      </c>
    </row>
    <row r="106" spans="2:25" ht="24.95" customHeight="1">
      <c r="B106" s="18"/>
      <c r="C106" s="24" t="s">
        <v>97</v>
      </c>
      <c r="D106" s="10"/>
      <c r="E106" s="22"/>
      <c r="F106" s="12">
        <f>SUM(F108:F136)</f>
        <v>556549870.75</v>
      </c>
      <c r="G106" s="12">
        <f>SUM(G108:G136)</f>
        <v>1095210376.2299998</v>
      </c>
      <c r="H106" s="12">
        <f t="shared" ref="H106:T106" si="50">SUM(H108:H136)</f>
        <v>-538660505.48000002</v>
      </c>
      <c r="I106" s="12">
        <f t="shared" si="50"/>
        <v>0</v>
      </c>
      <c r="J106" s="12">
        <f>SUM(J108:J136)</f>
        <v>197325941</v>
      </c>
      <c r="K106" s="12">
        <f>SUM(K108:K136)</f>
        <v>176388512.47000003</v>
      </c>
      <c r="L106" s="12">
        <f>SUM(L108:L136)</f>
        <v>20937428.529999994</v>
      </c>
      <c r="M106" s="12">
        <f t="shared" si="50"/>
        <v>0</v>
      </c>
      <c r="N106" s="12">
        <f>SUM(N108:N136)</f>
        <v>103675</v>
      </c>
      <c r="O106" s="12">
        <f>SUM(O108:O136)</f>
        <v>2376148.21</v>
      </c>
      <c r="P106" s="12">
        <f>SUM(P108:P136)</f>
        <v>-2272473.21</v>
      </c>
      <c r="Q106" s="12">
        <f t="shared" si="50"/>
        <v>0</v>
      </c>
      <c r="R106" s="12">
        <f t="shared" si="50"/>
        <v>753979486.75</v>
      </c>
      <c r="S106" s="12">
        <f t="shared" si="50"/>
        <v>1273975036.9099998</v>
      </c>
      <c r="T106" s="14">
        <f t="shared" si="50"/>
        <v>-519995550.15999991</v>
      </c>
      <c r="U106" s="17">
        <f>+S106/R106</f>
        <v>1.6896680338100722</v>
      </c>
    </row>
    <row r="107" spans="2:25" ht="24.95" customHeight="1">
      <c r="B107" s="18"/>
      <c r="C107" s="20" t="s">
        <v>98</v>
      </c>
      <c r="D107" s="20"/>
      <c r="E107" s="10"/>
      <c r="F107" s="12"/>
      <c r="G107" s="12"/>
      <c r="H107" s="12">
        <f t="shared" ref="H107:H115" si="51">+F107-G107</f>
        <v>0</v>
      </c>
      <c r="I107" s="13"/>
      <c r="J107" s="12"/>
      <c r="K107" s="12"/>
      <c r="L107" s="12">
        <f t="shared" ref="L107:L115" si="52">+J107-K107</f>
        <v>0</v>
      </c>
      <c r="M107" s="12"/>
      <c r="N107" s="12"/>
      <c r="O107" s="12"/>
      <c r="P107" s="12">
        <f t="shared" ref="P107:P115" si="53">+N107-O107</f>
        <v>0</v>
      </c>
      <c r="Q107" s="13"/>
      <c r="R107" s="12"/>
      <c r="S107" s="12"/>
      <c r="T107" s="14"/>
      <c r="U107" s="17"/>
    </row>
    <row r="108" spans="2:25" ht="24.95" customHeight="1">
      <c r="B108" s="18"/>
      <c r="C108" s="20"/>
      <c r="D108" s="20"/>
      <c r="E108" s="10" t="s">
        <v>99</v>
      </c>
      <c r="F108" s="12">
        <v>35636000</v>
      </c>
      <c r="G108" s="12">
        <v>108997623.23999999</v>
      </c>
      <c r="H108" s="12">
        <f t="shared" si="51"/>
        <v>-73361623.239999995</v>
      </c>
      <c r="I108" s="13"/>
      <c r="J108" s="12"/>
      <c r="K108" s="12">
        <v>19976814.25</v>
      </c>
      <c r="L108" s="12">
        <f t="shared" si="52"/>
        <v>-19976814.25</v>
      </c>
      <c r="M108" s="12"/>
      <c r="N108" s="12"/>
      <c r="O108" s="12"/>
      <c r="P108" s="12">
        <f t="shared" si="53"/>
        <v>0</v>
      </c>
      <c r="Q108" s="13"/>
      <c r="R108" s="12">
        <f t="shared" ref="R108:S115" si="54">+F108+J108+N108</f>
        <v>35636000</v>
      </c>
      <c r="S108" s="12">
        <f t="shared" si="54"/>
        <v>128974437.48999999</v>
      </c>
      <c r="T108" s="14">
        <f t="shared" ref="T108:T115" si="55">+R108-S108</f>
        <v>-93338437.489999995</v>
      </c>
      <c r="U108" s="17">
        <f t="shared" si="30"/>
        <v>3.6192175746436188</v>
      </c>
    </row>
    <row r="109" spans="2:25" ht="27" customHeight="1">
      <c r="B109" s="18"/>
      <c r="C109" s="10"/>
      <c r="D109" s="10"/>
      <c r="E109" s="22" t="s">
        <v>100</v>
      </c>
      <c r="F109" s="12">
        <v>44685242</v>
      </c>
      <c r="G109" s="12">
        <v>49751883.200000003</v>
      </c>
      <c r="H109" s="12">
        <f t="shared" si="51"/>
        <v>-5066641.200000003</v>
      </c>
      <c r="I109" s="13"/>
      <c r="J109" s="12"/>
      <c r="K109" s="12"/>
      <c r="L109" s="12">
        <f t="shared" si="52"/>
        <v>0</v>
      </c>
      <c r="M109" s="12"/>
      <c r="N109" s="12">
        <v>103675</v>
      </c>
      <c r="O109" s="12">
        <v>103675</v>
      </c>
      <c r="P109" s="12">
        <f t="shared" si="53"/>
        <v>0</v>
      </c>
      <c r="Q109" s="13"/>
      <c r="R109" s="12">
        <f t="shared" si="54"/>
        <v>44788917</v>
      </c>
      <c r="S109" s="12">
        <f t="shared" si="54"/>
        <v>49855558.200000003</v>
      </c>
      <c r="T109" s="14">
        <f t="shared" si="55"/>
        <v>-5066641.200000003</v>
      </c>
      <c r="U109" s="17">
        <f t="shared" si="30"/>
        <v>1.1131226548746425</v>
      </c>
    </row>
    <row r="110" spans="2:25" ht="27" customHeight="1">
      <c r="B110" s="18"/>
      <c r="C110" s="10"/>
      <c r="D110" s="10"/>
      <c r="E110" s="22" t="s">
        <v>101</v>
      </c>
      <c r="F110" s="12">
        <v>5474000</v>
      </c>
      <c r="G110" s="12">
        <v>4594883.1500000004</v>
      </c>
      <c r="H110" s="12">
        <f t="shared" si="51"/>
        <v>879116.84999999963</v>
      </c>
      <c r="I110" s="13"/>
      <c r="J110" s="12"/>
      <c r="K110" s="12"/>
      <c r="L110" s="12">
        <f t="shared" si="52"/>
        <v>0</v>
      </c>
      <c r="M110" s="12"/>
      <c r="N110" s="12"/>
      <c r="O110" s="12"/>
      <c r="P110" s="12">
        <f t="shared" si="53"/>
        <v>0</v>
      </c>
      <c r="Q110" s="13"/>
      <c r="R110" s="12">
        <f t="shared" si="54"/>
        <v>5474000</v>
      </c>
      <c r="S110" s="12">
        <f t="shared" si="54"/>
        <v>4594883.1500000004</v>
      </c>
      <c r="T110" s="14">
        <f t="shared" si="55"/>
        <v>879116.84999999963</v>
      </c>
      <c r="U110" s="17">
        <f t="shared" si="30"/>
        <v>0.83940137924735114</v>
      </c>
    </row>
    <row r="111" spans="2:25" ht="29.25" customHeight="1">
      <c r="B111" s="18"/>
      <c r="C111" s="10"/>
      <c r="D111" s="10"/>
      <c r="E111" s="22" t="s">
        <v>102</v>
      </c>
      <c r="F111" s="12">
        <v>3695376</v>
      </c>
      <c r="G111" s="12">
        <v>4527504.67</v>
      </c>
      <c r="H111" s="12">
        <f t="shared" si="51"/>
        <v>-832128.66999999993</v>
      </c>
      <c r="I111" s="13"/>
      <c r="J111" s="12"/>
      <c r="K111" s="12"/>
      <c r="L111" s="12">
        <f t="shared" si="52"/>
        <v>0</v>
      </c>
      <c r="M111" s="12"/>
      <c r="N111" s="12"/>
      <c r="O111" s="12"/>
      <c r="P111" s="12">
        <f t="shared" si="53"/>
        <v>0</v>
      </c>
      <c r="Q111" s="13"/>
      <c r="R111" s="12">
        <f t="shared" si="54"/>
        <v>3695376</v>
      </c>
      <c r="S111" s="12">
        <f t="shared" si="54"/>
        <v>4527504.67</v>
      </c>
      <c r="T111" s="14">
        <f t="shared" si="55"/>
        <v>-832128.66999999993</v>
      </c>
      <c r="U111" s="17">
        <f t="shared" si="30"/>
        <v>1.2251810560007967</v>
      </c>
    </row>
    <row r="112" spans="2:25" ht="24.95" customHeight="1">
      <c r="B112" s="18"/>
      <c r="C112" s="10"/>
      <c r="D112" s="10"/>
      <c r="E112" s="28" t="s">
        <v>103</v>
      </c>
      <c r="F112" s="12">
        <v>2391584</v>
      </c>
      <c r="G112" s="12">
        <v>2742963.07</v>
      </c>
      <c r="H112" s="12">
        <f t="shared" si="51"/>
        <v>-351379.06999999983</v>
      </c>
      <c r="I112" s="13"/>
      <c r="J112" s="12"/>
      <c r="K112" s="12"/>
      <c r="L112" s="12">
        <f t="shared" si="52"/>
        <v>0</v>
      </c>
      <c r="M112" s="12"/>
      <c r="N112" s="12"/>
      <c r="O112" s="12"/>
      <c r="P112" s="12">
        <f t="shared" si="53"/>
        <v>0</v>
      </c>
      <c r="Q112" s="13"/>
      <c r="R112" s="12">
        <f t="shared" si="54"/>
        <v>2391584</v>
      </c>
      <c r="S112" s="12">
        <f t="shared" si="54"/>
        <v>2742963.07</v>
      </c>
      <c r="T112" s="14">
        <f t="shared" si="55"/>
        <v>-351379.06999999983</v>
      </c>
      <c r="U112" s="17">
        <f t="shared" si="30"/>
        <v>1.1469231563683315</v>
      </c>
    </row>
    <row r="113" spans="2:22" ht="24.95" customHeight="1">
      <c r="B113" s="18"/>
      <c r="C113" s="10"/>
      <c r="D113" s="10"/>
      <c r="E113" s="22" t="s">
        <v>104</v>
      </c>
      <c r="F113" s="12">
        <v>25128000</v>
      </c>
      <c r="G113" s="12">
        <v>19656707.82</v>
      </c>
      <c r="H113" s="12">
        <f t="shared" si="51"/>
        <v>5471292.1799999997</v>
      </c>
      <c r="I113" s="13"/>
      <c r="J113" s="12"/>
      <c r="K113" s="12"/>
      <c r="L113" s="12">
        <f t="shared" si="52"/>
        <v>0</v>
      </c>
      <c r="M113" s="12"/>
      <c r="N113" s="12"/>
      <c r="O113" s="12"/>
      <c r="P113" s="12">
        <f t="shared" si="53"/>
        <v>0</v>
      </c>
      <c r="Q113" s="13"/>
      <c r="R113" s="12">
        <f t="shared" si="54"/>
        <v>25128000</v>
      </c>
      <c r="S113" s="12">
        <f t="shared" si="54"/>
        <v>19656707.82</v>
      </c>
      <c r="T113" s="14">
        <f t="shared" si="55"/>
        <v>5471292.1799999997</v>
      </c>
      <c r="U113" s="17">
        <f t="shared" si="30"/>
        <v>0.78226312559694366</v>
      </c>
    </row>
    <row r="114" spans="2:22" ht="29.25" customHeight="1">
      <c r="B114" s="18"/>
      <c r="C114" s="10"/>
      <c r="D114" s="10"/>
      <c r="E114" s="22" t="s">
        <v>105</v>
      </c>
      <c r="F114" s="12">
        <v>5936250</v>
      </c>
      <c r="G114" s="12">
        <v>14476150.460000001</v>
      </c>
      <c r="H114" s="12">
        <f t="shared" si="51"/>
        <v>-8539900.4600000009</v>
      </c>
      <c r="I114" s="13"/>
      <c r="J114" s="12">
        <v>5000000</v>
      </c>
      <c r="K114" s="12">
        <v>5000000</v>
      </c>
      <c r="L114" s="12">
        <f t="shared" si="52"/>
        <v>0</v>
      </c>
      <c r="M114" s="12"/>
      <c r="N114" s="12"/>
      <c r="O114" s="12"/>
      <c r="P114" s="12">
        <f t="shared" si="53"/>
        <v>0</v>
      </c>
      <c r="Q114" s="13"/>
      <c r="R114" s="12">
        <f t="shared" si="54"/>
        <v>10936250</v>
      </c>
      <c r="S114" s="12">
        <f t="shared" si="54"/>
        <v>19476150.460000001</v>
      </c>
      <c r="T114" s="14">
        <f t="shared" si="55"/>
        <v>-8539900.4600000009</v>
      </c>
      <c r="U114" s="17">
        <f t="shared" si="30"/>
        <v>1.7808801426448737</v>
      </c>
    </row>
    <row r="115" spans="2:22" ht="29.25" customHeight="1">
      <c r="B115" s="18"/>
      <c r="C115" s="10"/>
      <c r="D115" s="10"/>
      <c r="E115" s="21" t="s">
        <v>106</v>
      </c>
      <c r="F115" s="12">
        <v>14810720</v>
      </c>
      <c r="G115" s="12">
        <v>23665254.27</v>
      </c>
      <c r="H115" s="12">
        <f t="shared" si="51"/>
        <v>-8854534.2699999996</v>
      </c>
      <c r="I115" s="13"/>
      <c r="J115" s="12">
        <v>100000</v>
      </c>
      <c r="K115" s="12"/>
      <c r="L115" s="12">
        <f t="shared" si="52"/>
        <v>100000</v>
      </c>
      <c r="M115" s="12"/>
      <c r="N115" s="12"/>
      <c r="O115" s="12"/>
      <c r="P115" s="12">
        <f t="shared" si="53"/>
        <v>0</v>
      </c>
      <c r="Q115" s="13"/>
      <c r="R115" s="12">
        <f t="shared" si="54"/>
        <v>14910720</v>
      </c>
      <c r="S115" s="12">
        <f t="shared" si="54"/>
        <v>23665254.27</v>
      </c>
      <c r="T115" s="14">
        <f t="shared" si="55"/>
        <v>-8754534.2699999996</v>
      </c>
      <c r="U115" s="17">
        <f t="shared" si="30"/>
        <v>1.5871302170518928</v>
      </c>
    </row>
    <row r="116" spans="2:22" ht="24.95" customHeight="1">
      <c r="B116" s="18"/>
      <c r="C116" s="10"/>
      <c r="D116" s="10"/>
      <c r="E116" s="28"/>
      <c r="F116" s="12"/>
      <c r="G116" s="12"/>
      <c r="H116" s="12"/>
      <c r="I116" s="13"/>
      <c r="J116" s="12"/>
      <c r="K116" s="12"/>
      <c r="L116" s="12"/>
      <c r="M116" s="12"/>
      <c r="N116" s="12"/>
      <c r="O116" s="12"/>
      <c r="P116" s="12"/>
      <c r="Q116" s="13"/>
      <c r="R116" s="12"/>
      <c r="S116" s="12"/>
      <c r="T116" s="14"/>
      <c r="U116" s="17"/>
    </row>
    <row r="117" spans="2:22" ht="24.95" customHeight="1">
      <c r="B117" s="18"/>
      <c r="C117" s="20" t="s">
        <v>107</v>
      </c>
      <c r="D117" s="20"/>
      <c r="E117" s="10"/>
      <c r="F117" s="12"/>
      <c r="G117" s="12"/>
      <c r="H117" s="12"/>
      <c r="I117" s="13"/>
      <c r="J117" s="12"/>
      <c r="K117" s="12"/>
      <c r="L117" s="12"/>
      <c r="M117" s="12"/>
      <c r="N117" s="12"/>
      <c r="O117" s="12"/>
      <c r="P117" s="12"/>
      <c r="Q117" s="13"/>
      <c r="R117" s="12"/>
      <c r="S117" s="12"/>
      <c r="T117" s="14"/>
      <c r="U117" s="17"/>
    </row>
    <row r="118" spans="2:22" ht="24.95" customHeight="1">
      <c r="B118" s="18"/>
      <c r="C118" s="20"/>
      <c r="D118" s="20"/>
      <c r="E118" s="10" t="s">
        <v>108</v>
      </c>
      <c r="F118" s="12">
        <v>47502000</v>
      </c>
      <c r="G118" s="12">
        <v>99547729.939999998</v>
      </c>
      <c r="H118" s="12">
        <f>+F118-G118</f>
        <v>-52045729.939999998</v>
      </c>
      <c r="I118" s="13"/>
      <c r="J118" s="12">
        <v>42439225</v>
      </c>
      <c r="K118" s="12">
        <v>41439519.18</v>
      </c>
      <c r="L118" s="12">
        <f>+J118-K118</f>
        <v>999705.8200000003</v>
      </c>
      <c r="M118" s="12"/>
      <c r="N118" s="12"/>
      <c r="O118" s="12"/>
      <c r="P118" s="12">
        <f>+N118-O118</f>
        <v>0</v>
      </c>
      <c r="Q118" s="13"/>
      <c r="R118" s="12">
        <f t="shared" ref="R118:S121" si="56">+F118+J118+N118</f>
        <v>89941225</v>
      </c>
      <c r="S118" s="12">
        <f t="shared" si="56"/>
        <v>140987249.12</v>
      </c>
      <c r="T118" s="14">
        <f>+R118-S118</f>
        <v>-51046024.120000005</v>
      </c>
      <c r="U118" s="17">
        <f t="shared" si="30"/>
        <v>1.5675486866006105</v>
      </c>
    </row>
    <row r="119" spans="2:22" ht="28.5" customHeight="1">
      <c r="B119" s="18"/>
      <c r="C119" s="10"/>
      <c r="D119" s="10"/>
      <c r="E119" s="21" t="s">
        <v>109</v>
      </c>
      <c r="F119" s="12">
        <v>20846000</v>
      </c>
      <c r="G119" s="12">
        <v>36608095.829999998</v>
      </c>
      <c r="H119" s="12">
        <f>+F119-G119</f>
        <v>-15762095.829999998</v>
      </c>
      <c r="I119" s="13"/>
      <c r="J119" s="12"/>
      <c r="K119" s="12"/>
      <c r="L119" s="12">
        <f>+J119-K119</f>
        <v>0</v>
      </c>
      <c r="M119" s="12"/>
      <c r="N119" s="12"/>
      <c r="O119" s="12">
        <v>1744844.75</v>
      </c>
      <c r="P119" s="12">
        <f>+N119-O119</f>
        <v>-1744844.75</v>
      </c>
      <c r="Q119" s="13"/>
      <c r="R119" s="12">
        <f t="shared" si="56"/>
        <v>20846000</v>
      </c>
      <c r="S119" s="12">
        <f t="shared" si="56"/>
        <v>38352940.579999998</v>
      </c>
      <c r="T119" s="14">
        <f>+R119-S119</f>
        <v>-17506940.579999998</v>
      </c>
      <c r="U119" s="17">
        <f t="shared" si="30"/>
        <v>1.8398225357382711</v>
      </c>
    </row>
    <row r="120" spans="2:22" ht="28.5" customHeight="1">
      <c r="B120" s="18"/>
      <c r="C120" s="10"/>
      <c r="D120" s="10"/>
      <c r="E120" s="21" t="s">
        <v>110</v>
      </c>
      <c r="F120" s="12">
        <v>12255000</v>
      </c>
      <c r="G120" s="12">
        <v>35944007.759999998</v>
      </c>
      <c r="H120" s="12">
        <f>+F120-G120</f>
        <v>-23689007.759999998</v>
      </c>
      <c r="I120" s="13"/>
      <c r="J120" s="12"/>
      <c r="K120" s="12"/>
      <c r="L120" s="12">
        <f>+J120-K120</f>
        <v>0</v>
      </c>
      <c r="M120" s="12"/>
      <c r="N120" s="12"/>
      <c r="O120" s="12"/>
      <c r="P120" s="12">
        <f>+N120-O120</f>
        <v>0</v>
      </c>
      <c r="Q120" s="13"/>
      <c r="R120" s="12">
        <f t="shared" si="56"/>
        <v>12255000</v>
      </c>
      <c r="S120" s="12">
        <f t="shared" si="56"/>
        <v>35944007.759999998</v>
      </c>
      <c r="T120" s="14">
        <f>+R120-S120</f>
        <v>-23689007.759999998</v>
      </c>
      <c r="U120" s="17">
        <f t="shared" si="30"/>
        <v>2.9330075691554467</v>
      </c>
    </row>
    <row r="121" spans="2:22" ht="28.5" customHeight="1">
      <c r="B121" s="18"/>
      <c r="C121" s="10"/>
      <c r="D121" s="10"/>
      <c r="E121" s="22" t="s">
        <v>111</v>
      </c>
      <c r="F121" s="12">
        <v>28203000</v>
      </c>
      <c r="G121" s="12">
        <v>39586447.869999997</v>
      </c>
      <c r="H121" s="12">
        <f>+F121-G121</f>
        <v>-11383447.869999997</v>
      </c>
      <c r="I121" s="13"/>
      <c r="J121" s="12"/>
      <c r="K121" s="12">
        <v>854262.05</v>
      </c>
      <c r="L121" s="12">
        <f>+J121-K121</f>
        <v>-854262.05</v>
      </c>
      <c r="M121" s="12"/>
      <c r="N121" s="12"/>
      <c r="O121" s="12"/>
      <c r="P121" s="12">
        <f>+N121-O121</f>
        <v>0</v>
      </c>
      <c r="Q121" s="13"/>
      <c r="R121" s="12">
        <f t="shared" si="56"/>
        <v>28203000</v>
      </c>
      <c r="S121" s="12">
        <f t="shared" si="56"/>
        <v>40440709.919999994</v>
      </c>
      <c r="T121" s="14">
        <f>+R121-S121</f>
        <v>-12237709.919999994</v>
      </c>
      <c r="U121" s="17">
        <f t="shared" si="30"/>
        <v>1.4339151834911177</v>
      </c>
    </row>
    <row r="122" spans="2:22" ht="24.95" customHeight="1">
      <c r="B122" s="18"/>
      <c r="C122" s="10"/>
      <c r="D122" s="10"/>
      <c r="E122" s="22"/>
      <c r="F122" s="12"/>
      <c r="G122" s="12"/>
      <c r="H122" s="12"/>
      <c r="I122" s="13"/>
      <c r="J122" s="12"/>
      <c r="K122" s="12"/>
      <c r="L122" s="12"/>
      <c r="M122" s="12"/>
      <c r="N122" s="12"/>
      <c r="O122" s="12"/>
      <c r="P122" s="12"/>
      <c r="Q122" s="13"/>
      <c r="R122" s="12"/>
      <c r="S122" s="12"/>
      <c r="T122" s="14"/>
      <c r="U122" s="17"/>
    </row>
    <row r="123" spans="2:22" ht="24.95" customHeight="1">
      <c r="B123" s="18"/>
      <c r="C123" s="20" t="s">
        <v>112</v>
      </c>
      <c r="D123" s="20"/>
      <c r="E123" s="10"/>
      <c r="F123" s="12"/>
      <c r="G123" s="12"/>
      <c r="H123" s="12"/>
      <c r="I123" s="13"/>
      <c r="J123" s="12"/>
      <c r="K123" s="12"/>
      <c r="L123" s="12"/>
      <c r="M123" s="12"/>
      <c r="N123" s="12"/>
      <c r="O123" s="12"/>
      <c r="P123" s="12"/>
      <c r="Q123" s="13"/>
      <c r="R123" s="12"/>
      <c r="S123" s="12"/>
      <c r="T123" s="14"/>
      <c r="U123" s="17"/>
    </row>
    <row r="124" spans="2:22" ht="24.95" customHeight="1">
      <c r="B124" s="18"/>
      <c r="C124" s="20"/>
      <c r="D124" s="20"/>
      <c r="E124" s="10" t="s">
        <v>113</v>
      </c>
      <c r="F124" s="12">
        <v>24402000</v>
      </c>
      <c r="G124" s="12">
        <v>60627555.769999996</v>
      </c>
      <c r="H124" s="12">
        <f>+F124-G124</f>
        <v>-36225555.769999996</v>
      </c>
      <c r="I124" s="13"/>
      <c r="J124" s="12">
        <v>20000000</v>
      </c>
      <c r="K124" s="12">
        <v>18944616.160000004</v>
      </c>
      <c r="L124" s="12">
        <f>+J124-K124</f>
        <v>1055383.8399999961</v>
      </c>
      <c r="M124" s="12"/>
      <c r="N124" s="12"/>
      <c r="O124" s="12"/>
      <c r="P124" s="12">
        <f>+N124-O124</f>
        <v>0</v>
      </c>
      <c r="Q124" s="13"/>
      <c r="R124" s="12">
        <f t="shared" ref="R124:S126" si="57">+F124+J124+N124</f>
        <v>44402000</v>
      </c>
      <c r="S124" s="12">
        <f t="shared" si="57"/>
        <v>79572171.930000007</v>
      </c>
      <c r="T124" s="14">
        <f>+R124-S124</f>
        <v>-35170171.930000007</v>
      </c>
      <c r="U124" s="17">
        <f t="shared" si="30"/>
        <v>1.7920853098959508</v>
      </c>
      <c r="V124" s="2" t="s">
        <v>306</v>
      </c>
    </row>
    <row r="125" spans="2:22" ht="24.95" customHeight="1">
      <c r="B125" s="18"/>
      <c r="C125" s="10"/>
      <c r="D125" s="10"/>
      <c r="E125" s="22" t="s">
        <v>115</v>
      </c>
      <c r="F125" s="12">
        <v>82087000</v>
      </c>
      <c r="G125" s="12">
        <v>134855780.52000001</v>
      </c>
      <c r="H125" s="12">
        <f>+F125-G125</f>
        <v>-52768780.520000011</v>
      </c>
      <c r="I125" s="13"/>
      <c r="J125" s="12"/>
      <c r="K125" s="12"/>
      <c r="L125" s="12">
        <f>+J125-K125</f>
        <v>0</v>
      </c>
      <c r="M125" s="12"/>
      <c r="N125" s="12"/>
      <c r="O125" s="12">
        <v>527628.46</v>
      </c>
      <c r="P125" s="12">
        <f>+N125-O125</f>
        <v>-527628.46</v>
      </c>
      <c r="Q125" s="13"/>
      <c r="R125" s="12">
        <f t="shared" si="57"/>
        <v>82087000</v>
      </c>
      <c r="S125" s="12">
        <f t="shared" si="57"/>
        <v>135383408.98000002</v>
      </c>
      <c r="T125" s="14">
        <f>+R125-S125</f>
        <v>-53296408.980000019</v>
      </c>
      <c r="U125" s="17">
        <f t="shared" si="30"/>
        <v>1.6492673502503443</v>
      </c>
    </row>
    <row r="126" spans="2:22" ht="28.5" customHeight="1">
      <c r="B126" s="18"/>
      <c r="C126" s="10"/>
      <c r="D126" s="10"/>
      <c r="E126" s="22" t="s">
        <v>116</v>
      </c>
      <c r="F126" s="12">
        <v>62300025</v>
      </c>
      <c r="G126" s="12">
        <v>109810013.41</v>
      </c>
      <c r="H126" s="12">
        <f>+F126-G126</f>
        <v>-47509988.409999996</v>
      </c>
      <c r="I126" s="13"/>
      <c r="J126" s="12"/>
      <c r="K126" s="12"/>
      <c r="L126" s="12">
        <f>+J126-K126</f>
        <v>0</v>
      </c>
      <c r="M126" s="12"/>
      <c r="N126" s="12"/>
      <c r="O126" s="12"/>
      <c r="P126" s="12">
        <f>+N126-O126</f>
        <v>0</v>
      </c>
      <c r="Q126" s="13"/>
      <c r="R126" s="12">
        <f t="shared" si="57"/>
        <v>62300025</v>
      </c>
      <c r="S126" s="12">
        <f t="shared" si="57"/>
        <v>109810013.41</v>
      </c>
      <c r="T126" s="14">
        <f>+R126-S126</f>
        <v>-47509988.409999996</v>
      </c>
      <c r="U126" s="17">
        <f t="shared" si="30"/>
        <v>1.7625998289727813</v>
      </c>
    </row>
    <row r="127" spans="2:22" ht="24.95" customHeight="1">
      <c r="B127" s="18"/>
      <c r="C127" s="10"/>
      <c r="D127" s="10"/>
      <c r="E127" s="22"/>
      <c r="F127" s="12"/>
      <c r="G127" s="12"/>
      <c r="H127" s="12"/>
      <c r="I127" s="13"/>
      <c r="J127" s="12"/>
      <c r="K127" s="12"/>
      <c r="L127" s="12"/>
      <c r="M127" s="12"/>
      <c r="N127" s="12"/>
      <c r="O127" s="12"/>
      <c r="P127" s="12"/>
      <c r="Q127" s="13"/>
      <c r="R127" s="12"/>
      <c r="S127" s="12"/>
      <c r="T127" s="14"/>
      <c r="U127" s="17"/>
    </row>
    <row r="128" spans="2:22" ht="24.95" customHeight="1">
      <c r="B128" s="18"/>
      <c r="C128" s="20" t="s">
        <v>117</v>
      </c>
      <c r="D128" s="20"/>
      <c r="E128" s="10"/>
      <c r="F128" s="12"/>
      <c r="G128" s="12"/>
      <c r="H128" s="12"/>
      <c r="I128" s="13"/>
      <c r="J128" s="12"/>
      <c r="K128" s="12"/>
      <c r="L128" s="12"/>
      <c r="M128" s="12"/>
      <c r="N128" s="12"/>
      <c r="O128" s="12"/>
      <c r="P128" s="12"/>
      <c r="Q128" s="13"/>
      <c r="R128" s="12"/>
      <c r="S128" s="12"/>
      <c r="T128" s="14"/>
      <c r="U128" s="17"/>
    </row>
    <row r="129" spans="2:21" ht="24.95" customHeight="1">
      <c r="B129" s="18"/>
      <c r="C129" s="20"/>
      <c r="D129" s="20"/>
      <c r="E129" s="10" t="s">
        <v>118</v>
      </c>
      <c r="F129" s="12">
        <v>47242589</v>
      </c>
      <c r="G129" s="12">
        <v>47242589</v>
      </c>
      <c r="H129" s="12">
        <f>+F129-G129</f>
        <v>0</v>
      </c>
      <c r="I129" s="13"/>
      <c r="J129" s="12">
        <v>100000000</v>
      </c>
      <c r="K129" s="12">
        <v>67643140.150000006</v>
      </c>
      <c r="L129" s="12">
        <f>+J129-K129</f>
        <v>32356859.849999994</v>
      </c>
      <c r="M129" s="12"/>
      <c r="N129" s="12"/>
      <c r="O129" s="12"/>
      <c r="P129" s="12">
        <f>+N129-O129</f>
        <v>0</v>
      </c>
      <c r="Q129" s="13"/>
      <c r="R129" s="12">
        <f t="shared" ref="R129:S131" si="58">+F129+J129+N129</f>
        <v>147242589</v>
      </c>
      <c r="S129" s="12">
        <f t="shared" si="58"/>
        <v>114885729.15000001</v>
      </c>
      <c r="T129" s="14">
        <f>+R129-S129</f>
        <v>32356859.849999994</v>
      </c>
      <c r="U129" s="17">
        <f t="shared" si="30"/>
        <v>0.78024795631649757</v>
      </c>
    </row>
    <row r="130" spans="2:21" ht="27.75" customHeight="1">
      <c r="B130" s="18"/>
      <c r="C130" s="10"/>
      <c r="D130" s="10"/>
      <c r="E130" s="22" t="s">
        <v>119</v>
      </c>
      <c r="F130" s="12">
        <v>32742232</v>
      </c>
      <c r="G130" s="12">
        <v>193644876.61000001</v>
      </c>
      <c r="H130" s="12">
        <f>+F130-G130</f>
        <v>-160902644.61000001</v>
      </c>
      <c r="I130" s="13"/>
      <c r="J130" s="12">
        <v>9353296</v>
      </c>
      <c r="K130" s="12"/>
      <c r="L130" s="12">
        <f>+J130-K130</f>
        <v>9353296</v>
      </c>
      <c r="M130" s="12"/>
      <c r="N130" s="12"/>
      <c r="O130" s="12"/>
      <c r="P130" s="12">
        <f>+N130-O130</f>
        <v>0</v>
      </c>
      <c r="Q130" s="13"/>
      <c r="R130" s="12">
        <f t="shared" si="58"/>
        <v>42095528</v>
      </c>
      <c r="S130" s="12">
        <f t="shared" si="58"/>
        <v>193644876.61000001</v>
      </c>
      <c r="T130" s="14">
        <f>+R130-S130</f>
        <v>-151549348.61000001</v>
      </c>
      <c r="U130" s="17">
        <f t="shared" si="30"/>
        <v>4.6001294154096373</v>
      </c>
    </row>
    <row r="131" spans="2:21" ht="24.95" customHeight="1">
      <c r="B131" s="18"/>
      <c r="C131" s="10"/>
      <c r="D131" s="10"/>
      <c r="E131" s="28" t="s">
        <v>120</v>
      </c>
      <c r="F131" s="12">
        <v>5129752</v>
      </c>
      <c r="G131" s="12">
        <v>8530151.5099999998</v>
      </c>
      <c r="H131" s="12">
        <f>+F131-G131</f>
        <v>-3400399.51</v>
      </c>
      <c r="I131" s="13"/>
      <c r="J131" s="12"/>
      <c r="K131" s="12">
        <v>1301730.8099999998</v>
      </c>
      <c r="L131" s="12">
        <f>+J131-K131</f>
        <v>-1301730.8099999998</v>
      </c>
      <c r="M131" s="12"/>
      <c r="N131" s="12"/>
      <c r="O131" s="12"/>
      <c r="P131" s="12">
        <f>+N131-O131</f>
        <v>0</v>
      </c>
      <c r="Q131" s="13"/>
      <c r="R131" s="12">
        <f t="shared" si="58"/>
        <v>5129752</v>
      </c>
      <c r="S131" s="12">
        <f t="shared" si="58"/>
        <v>9831882.3200000003</v>
      </c>
      <c r="T131" s="14">
        <f>+R131-S131</f>
        <v>-4702130.32</v>
      </c>
      <c r="U131" s="17">
        <f t="shared" si="30"/>
        <v>1.9166389174369445</v>
      </c>
    </row>
    <row r="132" spans="2:21" ht="24.95" customHeight="1">
      <c r="B132" s="18"/>
      <c r="C132" s="10"/>
      <c r="D132" s="10"/>
      <c r="E132" s="28"/>
      <c r="F132" s="12"/>
      <c r="G132" s="12"/>
      <c r="H132" s="12"/>
      <c r="I132" s="13"/>
      <c r="J132" s="12"/>
      <c r="K132" s="12"/>
      <c r="L132" s="12"/>
      <c r="M132" s="12"/>
      <c r="N132" s="12"/>
      <c r="O132" s="12"/>
      <c r="P132" s="12"/>
      <c r="Q132" s="13"/>
      <c r="R132" s="12"/>
      <c r="S132" s="12"/>
      <c r="T132" s="14"/>
      <c r="U132" s="17"/>
    </row>
    <row r="133" spans="2:21" ht="24.95" customHeight="1">
      <c r="B133" s="18"/>
      <c r="C133" s="20" t="s">
        <v>121</v>
      </c>
      <c r="D133" s="20"/>
      <c r="E133" s="10"/>
      <c r="F133" s="12"/>
      <c r="G133" s="12"/>
      <c r="H133" s="12"/>
      <c r="I133" s="13"/>
      <c r="J133" s="12"/>
      <c r="K133" s="12"/>
      <c r="L133" s="12"/>
      <c r="M133" s="12"/>
      <c r="N133" s="12"/>
      <c r="O133" s="12"/>
      <c r="P133" s="12"/>
      <c r="Q133" s="13"/>
      <c r="R133" s="12"/>
      <c r="S133" s="12"/>
      <c r="T133" s="14"/>
      <c r="U133" s="17"/>
    </row>
    <row r="134" spans="2:21" ht="24.95" customHeight="1">
      <c r="B134" s="18"/>
      <c r="C134" s="20"/>
      <c r="D134" s="20"/>
      <c r="E134" s="10" t="s">
        <v>122</v>
      </c>
      <c r="F134" s="12">
        <v>10673578.75</v>
      </c>
      <c r="G134" s="12">
        <v>59233396.450000003</v>
      </c>
      <c r="H134" s="12">
        <f>+F134-G134</f>
        <v>-48559817.700000003</v>
      </c>
      <c r="I134" s="13"/>
      <c r="J134" s="12">
        <v>4528813</v>
      </c>
      <c r="K134" s="12">
        <v>8597907.8599999994</v>
      </c>
      <c r="L134" s="12">
        <f>+J134-K134</f>
        <v>-4069094.8599999994</v>
      </c>
      <c r="M134" s="12"/>
      <c r="N134" s="12"/>
      <c r="O134" s="12"/>
      <c r="P134" s="12">
        <f>+N134-O134</f>
        <v>0</v>
      </c>
      <c r="Q134" s="13"/>
      <c r="R134" s="12">
        <f t="shared" ref="R134:S136" si="59">+F134+J134+N134</f>
        <v>15202391.75</v>
      </c>
      <c r="S134" s="12">
        <f t="shared" si="59"/>
        <v>67831304.310000002</v>
      </c>
      <c r="T134" s="14">
        <f>+R134-S134</f>
        <v>-52628912.560000002</v>
      </c>
      <c r="U134" s="17">
        <f t="shared" si="30"/>
        <v>4.4618837236581541</v>
      </c>
    </row>
    <row r="135" spans="2:21" ht="27.75" customHeight="1">
      <c r="B135" s="18"/>
      <c r="C135" s="10"/>
      <c r="D135" s="10"/>
      <c r="E135" s="22" t="s">
        <v>123</v>
      </c>
      <c r="F135" s="12">
        <v>21598000</v>
      </c>
      <c r="G135" s="12">
        <v>27940964.100000001</v>
      </c>
      <c r="H135" s="12">
        <f>+F135-G135</f>
        <v>-6342964.1000000015</v>
      </c>
      <c r="I135" s="13"/>
      <c r="J135" s="12">
        <v>15904607</v>
      </c>
      <c r="K135" s="12">
        <v>12630522.01</v>
      </c>
      <c r="L135" s="12">
        <f>+J135-K135</f>
        <v>3274084.99</v>
      </c>
      <c r="M135" s="12"/>
      <c r="N135" s="12"/>
      <c r="O135" s="12"/>
      <c r="P135" s="12">
        <f>+N135-O135</f>
        <v>0</v>
      </c>
      <c r="Q135" s="13"/>
      <c r="R135" s="12">
        <f t="shared" si="59"/>
        <v>37502607</v>
      </c>
      <c r="S135" s="12">
        <f t="shared" si="59"/>
        <v>40571486.109999999</v>
      </c>
      <c r="T135" s="14">
        <f>+R135-S135</f>
        <v>-3068879.1099999994</v>
      </c>
      <c r="U135" s="17">
        <f t="shared" si="30"/>
        <v>1.0818310873694728</v>
      </c>
    </row>
    <row r="136" spans="2:21" ht="27.75" customHeight="1">
      <c r="B136" s="18"/>
      <c r="C136" s="10"/>
      <c r="D136" s="10"/>
      <c r="E136" s="22" t="s">
        <v>124</v>
      </c>
      <c r="F136" s="12">
        <v>23811522</v>
      </c>
      <c r="G136" s="12">
        <v>13225797.58</v>
      </c>
      <c r="H136" s="12">
        <f>+F136-G136</f>
        <v>10585724.42</v>
      </c>
      <c r="I136" s="13"/>
      <c r="J136" s="12"/>
      <c r="K136" s="12"/>
      <c r="L136" s="12">
        <f>+J136-K136</f>
        <v>0</v>
      </c>
      <c r="M136" s="12"/>
      <c r="N136" s="12"/>
      <c r="O136" s="12"/>
      <c r="P136" s="12">
        <f>+N136-O136</f>
        <v>0</v>
      </c>
      <c r="Q136" s="13"/>
      <c r="R136" s="12">
        <f t="shared" si="59"/>
        <v>23811522</v>
      </c>
      <c r="S136" s="12">
        <f t="shared" si="59"/>
        <v>13225797.58</v>
      </c>
      <c r="T136" s="14">
        <f>+R136-S136</f>
        <v>10585724.42</v>
      </c>
      <c r="U136" s="17">
        <f t="shared" si="30"/>
        <v>0.55543688387495771</v>
      </c>
    </row>
    <row r="137" spans="2:21" ht="27.75" customHeight="1">
      <c r="B137" s="18"/>
      <c r="C137" s="10"/>
      <c r="D137" s="10"/>
      <c r="E137" s="31" t="s">
        <v>51</v>
      </c>
      <c r="F137" s="32">
        <f>SUM(F108:F136)</f>
        <v>556549870.75</v>
      </c>
      <c r="G137" s="32">
        <f t="shared" ref="G137:S137" si="60">SUM(G108:G136)</f>
        <v>1095210376.2299998</v>
      </c>
      <c r="H137" s="32">
        <f t="shared" si="60"/>
        <v>-538660505.48000002</v>
      </c>
      <c r="I137" s="32">
        <f t="shared" si="60"/>
        <v>0</v>
      </c>
      <c r="J137" s="32">
        <f>SUM(J108:J136)</f>
        <v>197325941</v>
      </c>
      <c r="K137" s="32">
        <f t="shared" ref="K137" si="61">SUM(K108:K136)</f>
        <v>176388512.47000003</v>
      </c>
      <c r="L137" s="32">
        <f>SUM(L108:L136)</f>
        <v>20937428.529999994</v>
      </c>
      <c r="M137" s="32">
        <f t="shared" si="60"/>
        <v>0</v>
      </c>
      <c r="N137" s="32">
        <f>SUM(N108:N136)</f>
        <v>103675</v>
      </c>
      <c r="O137" s="32">
        <f t="shared" ref="O137" si="62">SUM(O108:O136)</f>
        <v>2376148.21</v>
      </c>
      <c r="P137" s="32">
        <f>SUM(P108:P136)</f>
        <v>-2272473.21</v>
      </c>
      <c r="Q137" s="32">
        <f t="shared" si="60"/>
        <v>0</v>
      </c>
      <c r="R137" s="32">
        <f t="shared" si="60"/>
        <v>753979486.75</v>
      </c>
      <c r="S137" s="32">
        <f t="shared" si="60"/>
        <v>1273975036.9099998</v>
      </c>
      <c r="T137" s="34">
        <f>SUM(T108:T136)</f>
        <v>-519995550.15999991</v>
      </c>
      <c r="U137" s="17">
        <f t="shared" si="30"/>
        <v>1.6896680338100722</v>
      </c>
    </row>
    <row r="138" spans="2:21" ht="24.95" customHeight="1">
      <c r="B138" s="18"/>
      <c r="C138" s="10"/>
      <c r="D138" s="10"/>
      <c r="E138" s="22"/>
      <c r="F138" s="12"/>
      <c r="G138" s="12"/>
      <c r="H138" s="12"/>
      <c r="I138" s="13"/>
      <c r="J138" s="12"/>
      <c r="K138" s="12"/>
      <c r="L138" s="12"/>
      <c r="M138" s="12"/>
      <c r="N138" s="12"/>
      <c r="O138" s="12"/>
      <c r="P138" s="12"/>
      <c r="Q138" s="13"/>
      <c r="R138" s="12"/>
      <c r="S138" s="12"/>
      <c r="T138" s="14"/>
      <c r="U138" s="17"/>
    </row>
    <row r="139" spans="2:21" ht="27.75" customHeight="1">
      <c r="B139" s="18"/>
      <c r="C139" s="24" t="s">
        <v>147</v>
      </c>
      <c r="D139" s="10"/>
      <c r="E139" s="22"/>
      <c r="F139" s="32"/>
      <c r="G139" s="32"/>
      <c r="H139" s="32"/>
      <c r="I139" s="33"/>
      <c r="J139" s="32"/>
      <c r="K139" s="32"/>
      <c r="L139" s="32"/>
      <c r="M139" s="32"/>
      <c r="N139" s="32"/>
      <c r="O139" s="32"/>
      <c r="P139" s="32"/>
      <c r="Q139" s="33"/>
      <c r="R139" s="32"/>
      <c r="S139" s="32"/>
      <c r="T139" s="34"/>
      <c r="U139" s="17"/>
    </row>
    <row r="140" spans="2:21" ht="27.75" customHeight="1">
      <c r="B140" s="18"/>
      <c r="C140" s="10"/>
      <c r="D140" s="10"/>
      <c r="E140" s="10" t="s">
        <v>148</v>
      </c>
      <c r="F140" s="12">
        <v>31207000</v>
      </c>
      <c r="G140" s="12">
        <v>56544162.630000003</v>
      </c>
      <c r="H140" s="12">
        <f>+F140-G140</f>
        <v>-25337162.630000003</v>
      </c>
      <c r="I140" s="13"/>
      <c r="J140" s="12"/>
      <c r="K140" s="12"/>
      <c r="L140" s="12">
        <f>+J140-K140</f>
        <v>0</v>
      </c>
      <c r="M140" s="12"/>
      <c r="N140" s="12"/>
      <c r="O140" s="12"/>
      <c r="P140" s="12">
        <f>+N140-O140</f>
        <v>0</v>
      </c>
      <c r="Q140" s="13"/>
      <c r="R140" s="12">
        <f t="shared" ref="R140:S141" si="63">+F140+J140+N140</f>
        <v>31207000</v>
      </c>
      <c r="S140" s="12">
        <f t="shared" si="63"/>
        <v>56544162.630000003</v>
      </c>
      <c r="T140" s="14">
        <f>+R140-S140</f>
        <v>-25337162.630000003</v>
      </c>
      <c r="U140" s="17">
        <f t="shared" ref="U140:U141" si="64">+S140/R140</f>
        <v>1.8119063873489922</v>
      </c>
    </row>
    <row r="141" spans="2:21" ht="27.75" customHeight="1">
      <c r="B141" s="18"/>
      <c r="C141" s="10"/>
      <c r="D141" s="10"/>
      <c r="E141" s="10" t="s">
        <v>149</v>
      </c>
      <c r="F141" s="12">
        <v>54309747</v>
      </c>
      <c r="G141" s="12">
        <v>60849659.939999998</v>
      </c>
      <c r="H141" s="12">
        <f>+F141-G141</f>
        <v>-6539912.9399999976</v>
      </c>
      <c r="I141" s="13"/>
      <c r="J141" s="12"/>
      <c r="K141" s="12"/>
      <c r="L141" s="12">
        <f>+J141-K141</f>
        <v>0</v>
      </c>
      <c r="M141" s="12"/>
      <c r="N141" s="12"/>
      <c r="O141" s="12">
        <v>2629196.54</v>
      </c>
      <c r="P141" s="12">
        <f>+N141-O141</f>
        <v>-2629196.54</v>
      </c>
      <c r="Q141" s="13"/>
      <c r="R141" s="12">
        <f t="shared" si="63"/>
        <v>54309747</v>
      </c>
      <c r="S141" s="12">
        <f t="shared" si="63"/>
        <v>63478856.479999997</v>
      </c>
      <c r="T141" s="14">
        <f>+R141-S141</f>
        <v>-9169109.4799999967</v>
      </c>
      <c r="U141" s="17">
        <f t="shared" si="64"/>
        <v>1.1688299059835427</v>
      </c>
    </row>
    <row r="142" spans="2:21" ht="24.95" customHeight="1">
      <c r="B142" s="18"/>
      <c r="C142" s="10"/>
      <c r="D142" s="10"/>
      <c r="E142" s="22"/>
      <c r="F142" s="12"/>
      <c r="G142" s="12"/>
      <c r="H142" s="12"/>
      <c r="I142" s="13"/>
      <c r="J142" s="12"/>
      <c r="K142" s="12"/>
      <c r="L142" s="12"/>
      <c r="M142" s="12"/>
      <c r="N142" s="12"/>
      <c r="O142" s="12"/>
      <c r="P142" s="12"/>
      <c r="Q142" s="13"/>
      <c r="R142" s="12"/>
      <c r="S142" s="12"/>
      <c r="T142" s="14"/>
      <c r="U142" s="17"/>
    </row>
    <row r="143" spans="2:21" s="48" customFormat="1" ht="15.75" thickBot="1">
      <c r="B143" s="44"/>
      <c r="C143" s="24"/>
      <c r="D143" s="24"/>
      <c r="E143" s="45" t="s">
        <v>125</v>
      </c>
      <c r="F143" s="46">
        <f>+F8+F51+F81+F104+F137+F49+F50+F140+F141</f>
        <v>4641665158.9300003</v>
      </c>
      <c r="G143" s="46">
        <f t="shared" ref="G143:H143" si="65">+G8+G51+G81+G104+G137+G49+G50+G140+G141</f>
        <v>4943850259.0299997</v>
      </c>
      <c r="H143" s="46">
        <f t="shared" si="65"/>
        <v>-302185100.0999999</v>
      </c>
      <c r="I143" s="46">
        <f t="shared" ref="I143:Q143" si="66">+I8+I51+I81+I104+I137+I49+I50</f>
        <v>2208000</v>
      </c>
      <c r="J143" s="46">
        <f>+J8+J51+J81+J104+J137+J49+J50+J140+J141</f>
        <v>1019169804.1</v>
      </c>
      <c r="K143" s="46">
        <f t="shared" ref="K143:L143" si="67">+K8+K51+K81+K104+K137+K49+K50+K140+K141</f>
        <v>1199899867.29</v>
      </c>
      <c r="L143" s="46">
        <f t="shared" si="67"/>
        <v>-180730063.19000003</v>
      </c>
      <c r="M143" s="46">
        <f t="shared" si="66"/>
        <v>0</v>
      </c>
      <c r="N143" s="46">
        <f>+N8+N51+N81+N104+N137+N49+N50+N140+N141</f>
        <v>88289582.5</v>
      </c>
      <c r="O143" s="46">
        <f t="shared" ref="O143:P143" si="68">+O8+O51+O81+O104+O137+O49+O50+O140+O141</f>
        <v>116813059.76999998</v>
      </c>
      <c r="P143" s="46">
        <f t="shared" si="68"/>
        <v>-28523477.270000003</v>
      </c>
      <c r="Q143" s="46">
        <f t="shared" si="66"/>
        <v>0</v>
      </c>
      <c r="R143" s="46">
        <f>+R8+R51+R81+R104+R137+R49+R50+R140+R141</f>
        <v>5749124545.5299997</v>
      </c>
      <c r="S143" s="46">
        <f t="shared" ref="S143:T143" si="69">+S8+S51+S81+S104+S137+S49+S50+S140+S141</f>
        <v>6260563186.0900002</v>
      </c>
      <c r="T143" s="46">
        <f t="shared" si="69"/>
        <v>-511438640.55999976</v>
      </c>
      <c r="U143" s="47">
        <f>+S143/R143</f>
        <v>1.088959394862588</v>
      </c>
    </row>
    <row r="144" spans="2:21" ht="15.75" thickTop="1" thickBot="1">
      <c r="B144" s="49"/>
      <c r="C144" s="50"/>
      <c r="D144" s="50"/>
      <c r="E144" s="51"/>
      <c r="F144" s="52"/>
      <c r="G144" s="52"/>
      <c r="H144" s="52"/>
      <c r="I144" s="53"/>
      <c r="J144" s="54"/>
      <c r="K144" s="54"/>
      <c r="L144" s="54"/>
      <c r="M144" s="54"/>
      <c r="N144" s="54"/>
      <c r="O144" s="54"/>
      <c r="P144" s="54"/>
      <c r="Q144" s="53"/>
      <c r="R144" s="54"/>
      <c r="S144" s="54"/>
      <c r="T144" s="55"/>
      <c r="U144" s="56"/>
    </row>
    <row r="145" spans="6:20" ht="24.95" customHeight="1">
      <c r="F145" s="30">
        <f>+F143+J143</f>
        <v>5660834963.0300007</v>
      </c>
      <c r="G145" s="30">
        <f>+G143+K143</f>
        <v>6143750126.3199997</v>
      </c>
      <c r="H145" s="30">
        <f>+F145-G145</f>
        <v>-482915163.28999901</v>
      </c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6:20" ht="24.95" customHeight="1">
      <c r="F146" s="58" t="s">
        <v>126</v>
      </c>
      <c r="J146" s="58" t="s">
        <v>127</v>
      </c>
      <c r="K146" s="30">
        <f>89000000+20815486+12600000</f>
        <v>122415486</v>
      </c>
      <c r="L146" s="30"/>
      <c r="N146" s="58" t="s">
        <v>128</v>
      </c>
      <c r="R146" s="13"/>
      <c r="S146" s="13"/>
      <c r="T146" s="13"/>
    </row>
    <row r="147" spans="6:20" ht="24.95" customHeight="1">
      <c r="R147" s="13"/>
      <c r="S147" s="13"/>
      <c r="T147" s="13"/>
    </row>
    <row r="148" spans="6:20" ht="24.95" customHeight="1">
      <c r="F148" s="59" t="s">
        <v>129</v>
      </c>
      <c r="J148" s="59" t="s">
        <v>130</v>
      </c>
      <c r="N148" s="59" t="s">
        <v>131</v>
      </c>
      <c r="R148" s="30"/>
      <c r="S148" s="30"/>
      <c r="T148" s="30"/>
    </row>
    <row r="149" spans="6:20" ht="17.25" customHeight="1">
      <c r="F149" s="58" t="s">
        <v>132</v>
      </c>
      <c r="J149" s="58" t="s">
        <v>133</v>
      </c>
      <c r="N149" s="58" t="s">
        <v>134</v>
      </c>
    </row>
  </sheetData>
  <autoFilter ref="B7:U140"/>
  <mergeCells count="11">
    <mergeCell ref="U5:U6"/>
    <mergeCell ref="C11:E11"/>
    <mergeCell ref="B1:T1"/>
    <mergeCell ref="B2:T2"/>
    <mergeCell ref="B3:T3"/>
    <mergeCell ref="B4:T4"/>
    <mergeCell ref="B5:E6"/>
    <mergeCell ref="F5:H5"/>
    <mergeCell ref="J5:L5"/>
    <mergeCell ref="N5:P5"/>
    <mergeCell ref="R5:T5"/>
  </mergeCells>
  <pageMargins left="1.25" right="0" top="0.36" bottom="0.3" header="0.27" footer="0.17"/>
  <pageSetup paperSize="5" scale="55" orientation="landscape" horizontalDpi="0" verticalDpi="0" r:id="rId1"/>
  <headerFooter>
    <oddFooter>&amp;R&amp;"-,Italic"&amp;8Page &amp;P of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Y149"/>
  <sheetViews>
    <sheetView zoomScale="75" zoomScaleNormal="75" workbookViewId="0">
      <pane xSplit="5" ySplit="6" topLeftCell="O135" activePane="bottomRight" state="frozen"/>
      <selection pane="topRight" activeCell="F1" sqref="F1"/>
      <selection pane="bottomLeft" activeCell="A7" sqref="A7"/>
      <selection pane="bottomRight" activeCell="T143" sqref="T143"/>
    </sheetView>
  </sheetViews>
  <sheetFormatPr defaultRowHeight="24.95" customHeight="1"/>
  <cols>
    <col min="1" max="4" width="2.7109375" style="2" customWidth="1"/>
    <col min="5" max="5" width="50.5703125" style="57" customWidth="1"/>
    <col min="6" max="7" width="20.85546875" style="2" customWidth="1"/>
    <col min="8" max="8" width="18.5703125" style="2" customWidth="1"/>
    <col min="9" max="9" width="0.7109375" style="2" customWidth="1"/>
    <col min="10" max="10" width="24" style="2" bestFit="1" customWidth="1"/>
    <col min="11" max="11" width="18.7109375" style="2" bestFit="1" customWidth="1"/>
    <col min="12" max="12" width="19.42578125" style="2" bestFit="1" customWidth="1"/>
    <col min="13" max="13" width="0.5703125" style="2" customWidth="1"/>
    <col min="14" max="15" width="18.7109375" style="2" bestFit="1" customWidth="1"/>
    <col min="16" max="16" width="17.5703125" style="2" customWidth="1"/>
    <col min="17" max="17" width="0.7109375" style="2" customWidth="1"/>
    <col min="18" max="19" width="19.85546875" style="2" bestFit="1" customWidth="1"/>
    <col min="20" max="20" width="20.140625" style="2" customWidth="1"/>
    <col min="21" max="21" width="14.5703125" style="1" customWidth="1"/>
    <col min="22" max="22" width="9.140625" style="2"/>
    <col min="23" max="23" width="13.140625" style="2" bestFit="1" customWidth="1"/>
    <col min="24" max="16384" width="9.140625" style="2"/>
  </cols>
  <sheetData>
    <row r="1" spans="2:21" ht="18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2:21" ht="20.25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21" ht="18">
      <c r="B3" s="131" t="s">
        <v>305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1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2:21" ht="24.95" customHeight="1">
      <c r="B5" s="134" t="s">
        <v>3</v>
      </c>
      <c r="C5" s="135"/>
      <c r="D5" s="135"/>
      <c r="E5" s="136"/>
      <c r="F5" s="140" t="s">
        <v>4</v>
      </c>
      <c r="G5" s="141"/>
      <c r="H5" s="142"/>
      <c r="I5" s="3"/>
      <c r="J5" s="140" t="s">
        <v>5</v>
      </c>
      <c r="K5" s="141"/>
      <c r="L5" s="142"/>
      <c r="M5" s="4"/>
      <c r="N5" s="140" t="s">
        <v>6</v>
      </c>
      <c r="O5" s="141"/>
      <c r="P5" s="142"/>
      <c r="Q5" s="3"/>
      <c r="R5" s="140" t="s">
        <v>7</v>
      </c>
      <c r="S5" s="141"/>
      <c r="T5" s="143"/>
      <c r="U5" s="127" t="s">
        <v>8</v>
      </c>
    </row>
    <row r="6" spans="2:21" s="8" customFormat="1" ht="28.5" customHeight="1" thickBot="1">
      <c r="B6" s="137"/>
      <c r="C6" s="138"/>
      <c r="D6" s="138"/>
      <c r="E6" s="139"/>
      <c r="F6" s="5" t="s">
        <v>9</v>
      </c>
      <c r="G6" s="6" t="s">
        <v>10</v>
      </c>
      <c r="H6" s="5" t="s">
        <v>11</v>
      </c>
      <c r="I6" s="6"/>
      <c r="J6" s="5" t="s">
        <v>12</v>
      </c>
      <c r="K6" s="6" t="s">
        <v>10</v>
      </c>
      <c r="L6" s="5" t="s">
        <v>11</v>
      </c>
      <c r="M6" s="5"/>
      <c r="N6" s="5" t="s">
        <v>9</v>
      </c>
      <c r="O6" s="6" t="s">
        <v>10</v>
      </c>
      <c r="P6" s="5" t="s">
        <v>11</v>
      </c>
      <c r="Q6" s="5"/>
      <c r="R6" s="6" t="s">
        <v>13</v>
      </c>
      <c r="S6" s="6" t="s">
        <v>10</v>
      </c>
      <c r="T6" s="7" t="s">
        <v>11</v>
      </c>
      <c r="U6" s="128"/>
    </row>
    <row r="7" spans="2:21" ht="24.95" customHeight="1">
      <c r="B7" s="9"/>
      <c r="C7" s="10"/>
      <c r="D7" s="10"/>
      <c r="E7" s="11"/>
      <c r="F7" s="12"/>
      <c r="G7" s="12"/>
      <c r="H7" s="12"/>
      <c r="I7" s="13"/>
      <c r="J7" s="12"/>
      <c r="K7" s="12"/>
      <c r="L7" s="12"/>
      <c r="M7" s="12"/>
      <c r="N7" s="12"/>
      <c r="O7" s="12"/>
      <c r="P7" s="12"/>
      <c r="Q7" s="13"/>
      <c r="R7" s="12"/>
      <c r="S7" s="12"/>
      <c r="T7" s="14"/>
      <c r="U7" s="15"/>
    </row>
    <row r="8" spans="2:21" ht="24.95" customHeight="1">
      <c r="B8" s="9" t="s">
        <v>14</v>
      </c>
      <c r="C8" s="10"/>
      <c r="D8" s="10"/>
      <c r="E8" s="11"/>
      <c r="F8" s="12">
        <f>+january!F8+february!F8+march!F8+april!F8+may!F8+june!F8+july!F8+august!F8+september!F8+'october '!F8+november!F8+december!F8</f>
        <v>18980265386.690002</v>
      </c>
      <c r="G8" s="12">
        <f>+january!G8+february!G8+march!G8+april!G8+may!G8+june!G8+july!G8+august!G8+september!G8+'october '!G8+november!G8+december!G8</f>
        <v>8545910710.2399988</v>
      </c>
      <c r="H8" s="12">
        <f>+F8-G8</f>
        <v>10434354676.450005</v>
      </c>
      <c r="I8" s="13"/>
      <c r="J8" s="12">
        <f>+january!J8+february!J8+march!J8+april!J8+may!J8+june!J8+july!J8+august!J8+september!J8+'october '!J8+november!J8+december!J8</f>
        <v>0</v>
      </c>
      <c r="K8" s="12">
        <f>+january!K8+february!K8+march!K8+april!K8+may!K8+june!K8+july!K8+august!K8+september!K8+'october '!K8+november!K8+december!K8</f>
        <v>0</v>
      </c>
      <c r="L8" s="12">
        <f>+J8-K8</f>
        <v>0</v>
      </c>
      <c r="M8" s="12"/>
      <c r="N8" s="12">
        <f>+january!N8+february!N8+march!N8+april!N8+may!N8+june!N8+july!N8+august!N8+september!N8+'october '!N8+november!N8+december!N8</f>
        <v>17629901.579999998</v>
      </c>
      <c r="O8" s="12">
        <f>+january!O8+february!O8+march!O8+april!O8+may!O8+june!O8+july!O8+august!O8+september!O8+'october '!O8+november!O8+december!O8</f>
        <v>13071233.820000002</v>
      </c>
      <c r="P8" s="12">
        <f>+N8-O8</f>
        <v>4558667.7599999961</v>
      </c>
      <c r="Q8" s="16"/>
      <c r="R8" s="12">
        <f>+F8+J8+N8</f>
        <v>18997895288.270004</v>
      </c>
      <c r="S8" s="12">
        <f>+G8+K8+O8</f>
        <v>8558981944.0599985</v>
      </c>
      <c r="T8" s="14">
        <f>+R8-S8</f>
        <v>10438913344.210007</v>
      </c>
      <c r="U8" s="17">
        <f>+S8/R8</f>
        <v>0.45052264022871141</v>
      </c>
    </row>
    <row r="9" spans="2:21" ht="24.95" customHeight="1">
      <c r="B9" s="18"/>
      <c r="C9" s="10"/>
      <c r="D9" s="10"/>
      <c r="E9" s="19"/>
      <c r="F9" s="12"/>
      <c r="G9" s="12"/>
      <c r="H9" s="12">
        <f>+F9-G9</f>
        <v>0</v>
      </c>
      <c r="I9" s="13"/>
      <c r="J9" s="12"/>
      <c r="K9" s="12"/>
      <c r="L9" s="12">
        <f>+J9-K9</f>
        <v>0</v>
      </c>
      <c r="M9" s="12"/>
      <c r="N9" s="12"/>
      <c r="O9" s="12"/>
      <c r="P9" s="12">
        <f>+N9-O9</f>
        <v>0</v>
      </c>
      <c r="Q9" s="13"/>
      <c r="R9" s="12"/>
      <c r="S9" s="12"/>
      <c r="T9" s="14"/>
      <c r="U9" s="17"/>
    </row>
    <row r="10" spans="2:21" ht="24.95" customHeight="1">
      <c r="B10" s="9" t="s">
        <v>15</v>
      </c>
      <c r="C10" s="10"/>
      <c r="D10" s="10"/>
      <c r="E10" s="11"/>
      <c r="F10" s="12"/>
      <c r="G10" s="12"/>
      <c r="H10" s="12"/>
      <c r="I10" s="13"/>
      <c r="J10" s="12"/>
      <c r="K10" s="12"/>
      <c r="L10" s="12"/>
      <c r="M10" s="12"/>
      <c r="N10" s="12"/>
      <c r="O10" s="12"/>
      <c r="P10" s="12"/>
      <c r="Q10" s="13"/>
      <c r="R10" s="12"/>
      <c r="S10" s="12"/>
      <c r="T10" s="14"/>
      <c r="U10" s="17"/>
    </row>
    <row r="11" spans="2:21" ht="30" customHeight="1">
      <c r="B11" s="9"/>
      <c r="C11" s="129" t="s">
        <v>16</v>
      </c>
      <c r="D11" s="129"/>
      <c r="E11" s="130"/>
      <c r="F11" s="12">
        <f>SUM(F13:F46)</f>
        <v>12563961524.878571</v>
      </c>
      <c r="G11" s="12">
        <f t="shared" ref="G11:T11" si="0">SUM(G13:G46)</f>
        <v>10085336710.417946</v>
      </c>
      <c r="H11" s="12">
        <f t="shared" si="0"/>
        <v>2478624814.4606252</v>
      </c>
      <c r="I11" s="12">
        <f t="shared" si="0"/>
        <v>2208000</v>
      </c>
      <c r="J11" s="12">
        <f>SUM(J13:J46)</f>
        <v>885744032.84000003</v>
      </c>
      <c r="K11" s="12">
        <f t="shared" ref="K11" si="1">SUM(K13:K46)</f>
        <v>810397016.45000017</v>
      </c>
      <c r="L11" s="12">
        <f>SUM(L13:L46)</f>
        <v>75347016.390000045</v>
      </c>
      <c r="M11" s="12">
        <f t="shared" si="0"/>
        <v>0</v>
      </c>
      <c r="N11" s="12">
        <f>SUM(N13:N46)</f>
        <v>838521757.57000005</v>
      </c>
      <c r="O11" s="12">
        <f t="shared" ref="O11" si="2">SUM(O13:O46)</f>
        <v>679714540.08000016</v>
      </c>
      <c r="P11" s="12">
        <f>SUM(P13:P46)</f>
        <v>158807217.4900001</v>
      </c>
      <c r="Q11" s="12">
        <f t="shared" si="0"/>
        <v>0</v>
      </c>
      <c r="R11" s="12">
        <f t="shared" si="0"/>
        <v>14288227315.28857</v>
      </c>
      <c r="S11" s="12">
        <f t="shared" si="0"/>
        <v>11575448266.947945</v>
      </c>
      <c r="T11" s="14">
        <f t="shared" si="0"/>
        <v>2712779048.3406253</v>
      </c>
      <c r="U11" s="17">
        <f>+S11/R11</f>
        <v>0.81013886548137992</v>
      </c>
    </row>
    <row r="12" spans="2:21" ht="24.95" customHeight="1">
      <c r="B12" s="18"/>
      <c r="C12" s="20" t="s">
        <v>17</v>
      </c>
      <c r="D12" s="20"/>
      <c r="E12" s="10"/>
      <c r="F12" s="12"/>
      <c r="G12" s="12"/>
      <c r="H12" s="12">
        <f t="shared" ref="H12:H17" si="3">+F12-G12</f>
        <v>0</v>
      </c>
      <c r="I12" s="13"/>
      <c r="J12" s="12"/>
      <c r="K12" s="12"/>
      <c r="L12" s="12">
        <f t="shared" ref="L12:L17" si="4">+J12-K12</f>
        <v>0</v>
      </c>
      <c r="M12" s="12"/>
      <c r="N12" s="12"/>
      <c r="O12" s="12"/>
      <c r="P12" s="12">
        <f t="shared" ref="P12:P17" si="5">+N12-O12</f>
        <v>0</v>
      </c>
      <c r="Q12" s="13"/>
      <c r="R12" s="12"/>
      <c r="S12" s="12"/>
      <c r="T12" s="14"/>
      <c r="U12" s="17"/>
    </row>
    <row r="13" spans="2:21" ht="24.95" customHeight="1">
      <c r="B13" s="18"/>
      <c r="C13" s="20"/>
      <c r="D13" s="20"/>
      <c r="E13" s="10" t="s">
        <v>18</v>
      </c>
      <c r="F13" s="12">
        <f>+january!F13+february!F13+march!F13+april!F13+may!F13+june!F13+july!F13+august!F13+september!F13+'october '!F13+november!F13+december!F13</f>
        <v>331531151.85000002</v>
      </c>
      <c r="G13" s="12">
        <f>+january!G13+february!G13+march!G13+april!G13+may!G13+june!G13+july!G13+august!G13+september!G13+'october '!G13+november!G13+december!G13</f>
        <v>331165973.47000003</v>
      </c>
      <c r="H13" s="12">
        <f t="shared" si="3"/>
        <v>365178.37999999523</v>
      </c>
      <c r="I13" s="13"/>
      <c r="J13" s="12">
        <f>+january!J13+february!J13+march!J13+april!J13+may!J13+june!J13+july!J13+august!J13+september!J13+'october '!J13+november!J13+december!J13</f>
        <v>183901000</v>
      </c>
      <c r="K13" s="12">
        <f>+january!K13+february!K13+march!K13+april!K13+may!K13+june!K13+july!K13+august!K13+september!K13+'october '!K13+november!K13+december!K13</f>
        <v>183901000</v>
      </c>
      <c r="L13" s="12">
        <f t="shared" si="4"/>
        <v>0</v>
      </c>
      <c r="M13" s="12"/>
      <c r="N13" s="12">
        <f>+january!N13+february!N13+march!N13+april!N13+may!N13+june!N13+july!N13+august!N13+september!N13+'october '!N13+november!N13+december!N13</f>
        <v>0</v>
      </c>
      <c r="O13" s="12">
        <f>+january!O13+february!O13+march!O13+april!O13+may!O13+june!O13+july!O13+august!O13+september!O13+'october '!O13+november!O13+december!O13</f>
        <v>0</v>
      </c>
      <c r="P13" s="12">
        <f t="shared" si="5"/>
        <v>0</v>
      </c>
      <c r="Q13" s="13"/>
      <c r="R13" s="12">
        <f t="shared" ref="R13:S17" si="6">+F13+J13+N13</f>
        <v>515432151.85000002</v>
      </c>
      <c r="S13" s="12">
        <f t="shared" si="6"/>
        <v>515066973.47000003</v>
      </c>
      <c r="T13" s="14">
        <f>+R13-S13</f>
        <v>365178.37999999523</v>
      </c>
      <c r="U13" s="17">
        <f t="shared" ref="U13:U72" si="7">+S13/R13</f>
        <v>0.99929151028182994</v>
      </c>
    </row>
    <row r="14" spans="2:21" ht="24.95" customHeight="1">
      <c r="B14" s="18"/>
      <c r="C14" s="10"/>
      <c r="D14" s="10"/>
      <c r="E14" s="21" t="s">
        <v>19</v>
      </c>
      <c r="F14" s="12">
        <f>+january!F14+february!F14+march!F14+april!F14+may!F14+june!F14+july!F14+august!F14+september!F14+'october '!F14+november!F14+december!F14</f>
        <v>141349711.53999999</v>
      </c>
      <c r="G14" s="12">
        <f>+january!G14+february!G14+march!G14+april!G14+may!G14+june!G14+july!G14+august!G14+september!G14+'october '!G14+november!G14+december!G14</f>
        <v>133732295.54937503</v>
      </c>
      <c r="H14" s="12">
        <f t="shared" si="3"/>
        <v>7617415.9906249642</v>
      </c>
      <c r="I14" s="13"/>
      <c r="J14" s="12">
        <f>+january!J14+february!J14+march!J14+april!J14+may!J14+june!J14+july!J14+august!J14+september!J14+'october '!J14+november!J14+december!J14</f>
        <v>8360931</v>
      </c>
      <c r="K14" s="12">
        <f>+january!K14+february!K14+march!K14+april!K14+may!K14+june!K14+july!K14+august!K14+september!K14+'october '!K14+november!K14+december!K14</f>
        <v>8360931</v>
      </c>
      <c r="L14" s="12">
        <f t="shared" si="4"/>
        <v>0</v>
      </c>
      <c r="M14" s="12"/>
      <c r="N14" s="12">
        <f>+january!N14+february!N14+march!N14+april!N14+may!N14+june!N14+july!N14+august!N14+september!N14+'october '!N14+november!N14+december!N14</f>
        <v>0</v>
      </c>
      <c r="O14" s="12">
        <f>+january!O14+february!O14+march!O14+april!O14+may!O14+june!O14+july!O14+august!O14+september!O14+'october '!O14+november!O14+december!O14</f>
        <v>0</v>
      </c>
      <c r="P14" s="12">
        <f t="shared" si="5"/>
        <v>0</v>
      </c>
      <c r="Q14" s="13"/>
      <c r="R14" s="12">
        <f t="shared" si="6"/>
        <v>149710642.53999999</v>
      </c>
      <c r="S14" s="12">
        <f t="shared" si="6"/>
        <v>142093226.54937503</v>
      </c>
      <c r="T14" s="14">
        <f>+R14-S14</f>
        <v>7617415.9906249642</v>
      </c>
      <c r="U14" s="17">
        <f t="shared" si="7"/>
        <v>0.9491190748941597</v>
      </c>
    </row>
    <row r="15" spans="2:21" ht="27" customHeight="1">
      <c r="B15" s="18"/>
      <c r="C15" s="10"/>
      <c r="D15" s="10"/>
      <c r="E15" s="21" t="s">
        <v>20</v>
      </c>
      <c r="F15" s="12">
        <f>+january!F15+february!F15+march!F15+april!F15+may!F15+june!F15+july!F15+august!F15+september!F15+'october '!F15+november!F15+december!F15</f>
        <v>146161633.68000001</v>
      </c>
      <c r="G15" s="12">
        <f>+january!G15+february!G15+march!G15+april!G15+may!G15+june!G15+july!G15+august!G15+september!G15+'october '!G15+november!G15+december!G15</f>
        <v>138637484.58999997</v>
      </c>
      <c r="H15" s="12">
        <f t="shared" si="3"/>
        <v>7524149.0900000334</v>
      </c>
      <c r="I15" s="13"/>
      <c r="J15" s="12">
        <f>+january!J15+february!J15+march!J15+april!J15+may!J15+june!J15+july!J15+august!J15+september!J15+'october '!J15+november!J15+december!J15</f>
        <v>1035000</v>
      </c>
      <c r="K15" s="12">
        <f>+january!K15+february!K15+march!K15+april!K15+may!K15+june!K15+july!K15+august!K15+september!K15+'october '!K15+november!K15+december!K15</f>
        <v>1035000</v>
      </c>
      <c r="L15" s="12">
        <f t="shared" si="4"/>
        <v>0</v>
      </c>
      <c r="M15" s="12"/>
      <c r="N15" s="12">
        <f>+january!N15+february!N15+march!N15+april!N15+may!N15+june!N15+july!N15+august!N15+september!N15+'october '!N15+november!N15+december!N15</f>
        <v>0</v>
      </c>
      <c r="O15" s="12">
        <f>+january!O15+february!O15+march!O15+april!O15+may!O15+june!O15+july!O15+august!O15+september!O15+'october '!O15+november!O15+december!O15</f>
        <v>0</v>
      </c>
      <c r="P15" s="12">
        <f t="shared" si="5"/>
        <v>0</v>
      </c>
      <c r="Q15" s="13"/>
      <c r="R15" s="12">
        <f t="shared" si="6"/>
        <v>147196633.68000001</v>
      </c>
      <c r="S15" s="12">
        <f t="shared" si="6"/>
        <v>139672484.58999997</v>
      </c>
      <c r="T15" s="14">
        <f>+R15-S15</f>
        <v>7524149.0900000334</v>
      </c>
      <c r="U15" s="17">
        <f t="shared" si="7"/>
        <v>0.94888368774548704</v>
      </c>
    </row>
    <row r="16" spans="2:21" ht="27" customHeight="1">
      <c r="B16" s="18"/>
      <c r="C16" s="10"/>
      <c r="D16" s="10"/>
      <c r="E16" s="22" t="s">
        <v>21</v>
      </c>
      <c r="F16" s="12">
        <f>+january!F16+february!F16+march!F16+april!F16+may!F16+june!F16+july!F16+august!F16+september!F16+'october '!F16+november!F16+december!F16</f>
        <v>45851822.660000004</v>
      </c>
      <c r="G16" s="12">
        <f>+january!G16+february!G16+march!G16+april!G16+may!G16+june!G16+july!G16+august!G16+september!G16+'october '!G16+november!G16+december!G16</f>
        <v>36234154.479999997</v>
      </c>
      <c r="H16" s="12">
        <f t="shared" si="3"/>
        <v>9617668.1800000072</v>
      </c>
      <c r="I16" s="13"/>
      <c r="J16" s="12">
        <f>+january!J16+february!J16+march!J16+april!J16+may!J16+june!J16+july!J16+august!J16+september!J16+'october '!J16+november!J16+december!J16</f>
        <v>393000</v>
      </c>
      <c r="K16" s="12">
        <f>+january!K16+february!K16+march!K16+april!K16+may!K16+june!K16+july!K16+august!K16+september!K16+'october '!K16+november!K16+december!K16</f>
        <v>393000</v>
      </c>
      <c r="L16" s="12">
        <f t="shared" si="4"/>
        <v>0</v>
      </c>
      <c r="M16" s="12"/>
      <c r="N16" s="12">
        <f>+january!N16+february!N16+march!N16+april!N16+may!N16+june!N16+july!N16+august!N16+september!N16+'october '!N16+november!N16+december!N16</f>
        <v>0</v>
      </c>
      <c r="O16" s="12">
        <f>+january!O16+february!O16+march!O16+april!O16+may!O16+june!O16+july!O16+august!O16+september!O16+'october '!O16+november!O16+december!O16</f>
        <v>0</v>
      </c>
      <c r="P16" s="12">
        <f t="shared" si="5"/>
        <v>0</v>
      </c>
      <c r="Q16" s="13"/>
      <c r="R16" s="12">
        <f t="shared" si="6"/>
        <v>46244822.660000004</v>
      </c>
      <c r="S16" s="12">
        <f t="shared" si="6"/>
        <v>36627154.479999997</v>
      </c>
      <c r="T16" s="14">
        <f>+R16-S16</f>
        <v>9617668.1800000072</v>
      </c>
      <c r="U16" s="17">
        <f t="shared" si="7"/>
        <v>0.79202713673029346</v>
      </c>
    </row>
    <row r="17" spans="2:21" ht="27" customHeight="1">
      <c r="B17" s="18"/>
      <c r="C17" s="10"/>
      <c r="D17" s="10"/>
      <c r="E17" s="21" t="s">
        <v>22</v>
      </c>
      <c r="F17" s="12">
        <f>+january!F17+february!F17+march!F17+april!F17+may!F17+june!F17+july!F17+august!F17+september!F17+'october '!F17+november!F17+december!F17</f>
        <v>208533131</v>
      </c>
      <c r="G17" s="12">
        <f>+january!G17+february!G17+march!G17+april!G17+may!G17+june!G17+july!G17+august!G17+september!G17+'october '!G17+november!G17+december!G17</f>
        <v>197032424.00999999</v>
      </c>
      <c r="H17" s="12">
        <f t="shared" si="3"/>
        <v>11500706.99000001</v>
      </c>
      <c r="I17" s="13"/>
      <c r="J17" s="12">
        <f>+january!J17+february!J17+march!J17+april!J17+may!J17+june!J17+july!J17+august!J17+september!J17+'october '!J17+november!J17+december!J17</f>
        <v>9755000</v>
      </c>
      <c r="K17" s="12">
        <f>+january!K17+february!K17+march!K17+april!K17+may!K17+june!K17+july!K17+august!K17+september!K17+'october '!K17+november!K17+december!K17</f>
        <v>9755000</v>
      </c>
      <c r="L17" s="12">
        <f t="shared" si="4"/>
        <v>0</v>
      </c>
      <c r="M17" s="12"/>
      <c r="N17" s="12">
        <f>+january!N17+february!N17+march!N17+april!N17+may!N17+june!N17+july!N17+august!N17+september!N17+'october '!N17+november!N17+december!N17</f>
        <v>326863</v>
      </c>
      <c r="O17" s="12">
        <f>+january!O17+february!O17+march!O17+april!O17+may!O17+june!O17+july!O17+august!O17+september!O17+'october '!O17+november!O17+december!O17</f>
        <v>326862.7</v>
      </c>
      <c r="P17" s="12">
        <f t="shared" si="5"/>
        <v>0.29999999998835847</v>
      </c>
      <c r="Q17" s="13"/>
      <c r="R17" s="12">
        <f t="shared" si="6"/>
        <v>218614994</v>
      </c>
      <c r="S17" s="12">
        <f t="shared" si="6"/>
        <v>207114286.70999998</v>
      </c>
      <c r="T17" s="14">
        <f>+R17-S17</f>
        <v>11500707.290000021</v>
      </c>
      <c r="U17" s="17">
        <f t="shared" si="7"/>
        <v>0.94739287054574117</v>
      </c>
    </row>
    <row r="18" spans="2:21" ht="24.95" customHeight="1">
      <c r="B18" s="18"/>
      <c r="C18" s="10"/>
      <c r="D18" s="10"/>
      <c r="E18" s="21"/>
      <c r="F18" s="12">
        <f>+january!F18+february!F18+march!F18+april!F18+may!F18+june!F18+july!F18+august!F18+september!F18+'october '!F18+november!F18+december!F18</f>
        <v>0</v>
      </c>
      <c r="G18" s="12">
        <f>+january!G18+february!G18+march!G18+april!G18+may!G18+june!G18+july!G18+august!G18+september!G18+'october '!G18+november!G18+december!G18</f>
        <v>0</v>
      </c>
      <c r="H18" s="12"/>
      <c r="I18" s="13"/>
      <c r="J18" s="12">
        <f>+january!J18+february!J18+march!J18+april!J18+may!J18+june!J18+july!J18+august!J18+september!J18+'october '!J18+november!J18+december!J18</f>
        <v>0</v>
      </c>
      <c r="K18" s="12">
        <f>+january!K18+february!K18+march!K18+april!K18+may!K18+june!K18+july!K18+august!K18+september!K18+'october '!K18+november!K18+december!K18</f>
        <v>0</v>
      </c>
      <c r="L18" s="12"/>
      <c r="M18" s="12"/>
      <c r="N18" s="12">
        <f>+january!N18+february!N18+march!N18+april!N18+may!N18+june!N18+july!N18+august!N18+september!N18+'october '!N18+november!N18+december!N18</f>
        <v>0</v>
      </c>
      <c r="O18" s="12">
        <f>+january!O18+february!O18+march!O18+april!O18+may!O18+june!O18+july!O18+august!O18+september!O18+'october '!O18+november!O18+december!O18</f>
        <v>0</v>
      </c>
      <c r="P18" s="12"/>
      <c r="Q18" s="13"/>
      <c r="R18" s="12"/>
      <c r="S18" s="12"/>
      <c r="T18" s="14"/>
      <c r="U18" s="17"/>
    </row>
    <row r="19" spans="2:21" ht="24.95" customHeight="1">
      <c r="B19" s="18"/>
      <c r="C19" s="20" t="s">
        <v>23</v>
      </c>
      <c r="D19" s="20"/>
      <c r="E19" s="10"/>
      <c r="F19" s="12">
        <f>+january!F19+february!F19+march!F19+april!F19+may!F19+june!F19+july!F19+august!F19+september!F19+'october '!F19+november!F19+december!F19</f>
        <v>0</v>
      </c>
      <c r="G19" s="12">
        <f>+january!G19+february!G19+march!G19+april!G19+may!G19+june!G19+july!G19+august!G19+september!G19+'october '!G19+november!G19+december!G19</f>
        <v>0</v>
      </c>
      <c r="H19" s="12"/>
      <c r="I19" s="13"/>
      <c r="J19" s="12">
        <f>+january!J19+february!J19+march!J19+april!J19+may!J19+june!J19+july!J19+august!J19+september!J19+'october '!J19+november!J19+december!J19</f>
        <v>0</v>
      </c>
      <c r="K19" s="12">
        <f>+january!K19+february!K19+march!K19+april!K19+may!K19+june!K19+july!K19+august!K19+september!K19+'october '!K19+november!K19+december!K19</f>
        <v>0</v>
      </c>
      <c r="L19" s="12"/>
      <c r="M19" s="12"/>
      <c r="N19" s="12">
        <f>+january!N19+february!N19+march!N19+april!N19+may!N19+june!N19+july!N19+august!N19+september!N19+'october '!N19+november!N19+december!N19</f>
        <v>0</v>
      </c>
      <c r="O19" s="12">
        <f>+january!O19+february!O19+march!O19+april!O19+may!O19+june!O19+july!O19+august!O19+september!O19+'october '!O19+november!O19+december!O19</f>
        <v>0</v>
      </c>
      <c r="P19" s="12"/>
      <c r="Q19" s="13"/>
      <c r="R19" s="12"/>
      <c r="S19" s="12"/>
      <c r="T19" s="14"/>
      <c r="U19" s="17"/>
    </row>
    <row r="20" spans="2:21" ht="24.95" customHeight="1">
      <c r="B20" s="18"/>
      <c r="C20" s="20"/>
      <c r="D20" s="20"/>
      <c r="E20" s="10" t="s">
        <v>24</v>
      </c>
      <c r="F20" s="12">
        <f>+january!F20+february!F20+march!F20+april!F20+may!F20+june!F20+july!F20+august!F20+september!F20+'october '!F20+november!F20+december!F20</f>
        <v>735847457</v>
      </c>
      <c r="G20" s="12">
        <f>+january!G20+february!G20+march!G20+april!G20+may!G20+june!G20+july!G20+august!G20+september!G20+'october '!G20+november!G20+december!G20</f>
        <v>796928447.03999996</v>
      </c>
      <c r="H20" s="12">
        <f>+F20-G20</f>
        <v>-61080990.039999962</v>
      </c>
      <c r="I20" s="13"/>
      <c r="J20" s="12">
        <f>+january!J20+february!J20+march!J20+april!J20+may!J20+june!J20+july!J20+august!J20+september!J20+'october '!J20+november!J20+december!J20</f>
        <v>3940500</v>
      </c>
      <c r="K20" s="12">
        <f>+january!K20+february!K20+march!K20+april!K20+may!K20+june!K20+july!K20+august!K20+september!K20+'october '!K20+november!K20+december!K20</f>
        <v>2190500</v>
      </c>
      <c r="L20" s="12">
        <f>+J20-K20</f>
        <v>1750000</v>
      </c>
      <c r="M20" s="12"/>
      <c r="N20" s="12">
        <f>+january!N20+february!N20+march!N20+april!N20+may!N20+june!N20+july!N20+august!N20+september!N20+'october '!N20+november!N20+december!N20</f>
        <v>476510393.94</v>
      </c>
      <c r="O20" s="12">
        <f>+january!O20+february!O20+march!O20+april!O20+may!O20+june!O20+july!O20+august!O20+september!O20+'october '!O20+november!O20+december!O20</f>
        <v>323762370.55000001</v>
      </c>
      <c r="P20" s="12">
        <f>+N20-O20</f>
        <v>152748023.38999999</v>
      </c>
      <c r="Q20" s="13"/>
      <c r="R20" s="12">
        <f>+F20+J20+N20</f>
        <v>1216298350.9400001</v>
      </c>
      <c r="S20" s="12">
        <f>+G20+K20+O20</f>
        <v>1122881317.5899999</v>
      </c>
      <c r="T20" s="14">
        <f>+R20-S20</f>
        <v>93417033.350000143</v>
      </c>
      <c r="U20" s="17">
        <f t="shared" si="7"/>
        <v>0.92319562607496419</v>
      </c>
    </row>
    <row r="21" spans="2:21" ht="28.5" customHeight="1">
      <c r="B21" s="18"/>
      <c r="C21" s="10"/>
      <c r="D21" s="10"/>
      <c r="E21" s="22" t="s">
        <v>25</v>
      </c>
      <c r="F21" s="12">
        <f>+january!F21+february!F21+march!F21+april!F21+may!F21+june!F21+july!F21+august!F21+september!F21+'october '!F21+november!F21+december!F21</f>
        <v>356196861</v>
      </c>
      <c r="G21" s="12">
        <f>+january!G21+february!G21+march!G21+april!G21+may!G21+june!G21+july!G21+august!G21+september!G21+'october '!G21+november!G21+december!G21</f>
        <v>305991846.35999995</v>
      </c>
      <c r="H21" s="12">
        <f>+F21-G21</f>
        <v>50205014.640000045</v>
      </c>
      <c r="I21" s="13"/>
      <c r="J21" s="12">
        <f>+january!J21+february!J21+march!J21+april!J21+may!J21+june!J21+july!J21+august!J21+september!J21+'october '!J21+november!J21+december!J21</f>
        <v>18707500</v>
      </c>
      <c r="K21" s="12">
        <f>+january!K21+february!K21+march!K21+april!K21+may!K21+june!K21+july!K21+august!K21+september!K21+'october '!K21+november!K21+december!K21</f>
        <v>18398225</v>
      </c>
      <c r="L21" s="12">
        <f>+J21-K21</f>
        <v>309275</v>
      </c>
      <c r="M21" s="12"/>
      <c r="N21" s="12">
        <f>+january!N21+february!N21+march!N21+april!N21+may!N21+june!N21+july!N21+august!N21+september!N21+'october '!N21+november!N21+december!N21</f>
        <v>6647243</v>
      </c>
      <c r="O21" s="12">
        <f>+january!O21+february!O21+march!O21+april!O21+may!O21+june!O21+july!O21+august!O21+september!O21+'october '!O21+november!O21+december!O21</f>
        <v>6647241.1700000009</v>
      </c>
      <c r="P21" s="12">
        <f>+N21-O21</f>
        <v>1.8299999991431832</v>
      </c>
      <c r="Q21" s="13"/>
      <c r="R21" s="12">
        <f>+F21+J21+N21</f>
        <v>381551604</v>
      </c>
      <c r="S21" s="12">
        <f>+G21+K21+O21</f>
        <v>331037312.52999997</v>
      </c>
      <c r="T21" s="14">
        <f>+R21-S21</f>
        <v>50514291.470000029</v>
      </c>
      <c r="U21" s="17">
        <f t="shared" si="7"/>
        <v>0.86760823191297598</v>
      </c>
    </row>
    <row r="22" spans="2:21" ht="24.95" customHeight="1">
      <c r="B22" s="18"/>
      <c r="C22" s="10"/>
      <c r="D22" s="10"/>
      <c r="E22" s="22"/>
      <c r="F22" s="12">
        <f>+january!F22+february!F22+march!F22+april!F22+may!F22+june!F22+july!F22+august!F22+september!F22+'october '!F22+november!F22+december!F22</f>
        <v>0</v>
      </c>
      <c r="G22" s="12">
        <f>+january!G22+february!G22+march!G22+april!G22+may!G22+june!G22+july!G22+august!G22+september!G22+'october '!G22+november!G22+december!G22</f>
        <v>0</v>
      </c>
      <c r="H22" s="12"/>
      <c r="I22" s="13"/>
      <c r="J22" s="12">
        <f>+january!J22+february!J22+march!J22+april!J22+may!J22+june!J22+july!J22+august!J22+september!J22+'october '!J22+november!J22+december!J22</f>
        <v>0</v>
      </c>
      <c r="K22" s="12">
        <f>+january!K22+february!K22+march!K22+april!K22+may!K22+june!K22+july!K22+august!K22+september!K22+'october '!K22+november!K22+december!K22</f>
        <v>0</v>
      </c>
      <c r="L22" s="12"/>
      <c r="M22" s="12"/>
      <c r="N22" s="12">
        <f>+january!N22+february!N22+march!N22+april!N22+may!N22+june!N22+july!N22+august!N22+september!N22+'october '!N22+november!N22+december!N22</f>
        <v>0</v>
      </c>
      <c r="O22" s="12">
        <f>+january!O22+february!O22+march!O22+april!O22+may!O22+june!O22+july!O22+august!O22+september!O22+'october '!O22+november!O22+december!O22</f>
        <v>0</v>
      </c>
      <c r="P22" s="12"/>
      <c r="Q22" s="13"/>
      <c r="R22" s="12"/>
      <c r="S22" s="12"/>
      <c r="T22" s="14"/>
      <c r="U22" s="17"/>
    </row>
    <row r="23" spans="2:21" ht="24.95" customHeight="1">
      <c r="B23" s="18"/>
      <c r="C23" s="20" t="s">
        <v>26</v>
      </c>
      <c r="D23" s="20"/>
      <c r="E23" s="10"/>
      <c r="F23" s="12">
        <f>+january!F23+february!F23+march!F23+april!F23+may!F23+june!F23+july!F23+august!F23+september!F23+'october '!F23+november!F23+december!F23</f>
        <v>0</v>
      </c>
      <c r="G23" s="12">
        <f>+january!G23+february!G23+march!G23+april!G23+may!G23+june!G23+july!G23+august!G23+september!G23+'october '!G23+november!G23+december!G23</f>
        <v>0</v>
      </c>
      <c r="H23" s="12"/>
      <c r="I23" s="13"/>
      <c r="J23" s="12">
        <f>+january!J23+february!J23+march!J23+april!J23+may!J23+june!J23+july!J23+august!J23+september!J23+'october '!J23+november!J23+december!J23</f>
        <v>0</v>
      </c>
      <c r="K23" s="12">
        <f>+january!K23+february!K23+march!K23+april!K23+may!K23+june!K23+july!K23+august!K23+september!K23+'october '!K23+november!K23+december!K23</f>
        <v>0</v>
      </c>
      <c r="L23" s="12"/>
      <c r="M23" s="12"/>
      <c r="N23" s="12">
        <f>+january!N23+february!N23+march!N23+april!N23+may!N23+june!N23+july!N23+august!N23+september!N23+'october '!N23+november!N23+december!N23</f>
        <v>0</v>
      </c>
      <c r="O23" s="12">
        <f>+january!O23+february!O23+march!O23+april!O23+may!O23+june!O23+july!O23+august!O23+september!O23+'october '!O23+november!O23+december!O23</f>
        <v>0</v>
      </c>
      <c r="P23" s="12"/>
      <c r="Q23" s="13"/>
      <c r="R23" s="12"/>
      <c r="S23" s="12"/>
      <c r="T23" s="14"/>
      <c r="U23" s="17"/>
    </row>
    <row r="24" spans="2:21" ht="24.95" customHeight="1">
      <c r="B24" s="18"/>
      <c r="C24" s="20"/>
      <c r="D24" s="20"/>
      <c r="E24" s="10" t="s">
        <v>27</v>
      </c>
      <c r="F24" s="12">
        <f>+january!F24+february!F24+march!F24+april!F24+may!F24+june!F24+july!F24+august!F24+september!F24+'october '!F24+november!F24+december!F24</f>
        <v>765663999.99857152</v>
      </c>
      <c r="G24" s="12">
        <f>+january!G24+february!G24+march!G24+april!G24+may!G24+june!G24+july!G24+august!G24+september!G24+'october '!G24+november!G24+december!G24</f>
        <v>765504744.418571</v>
      </c>
      <c r="H24" s="12">
        <f>+F24-G24</f>
        <v>159255.58000051975</v>
      </c>
      <c r="I24" s="13"/>
      <c r="J24" s="12">
        <f>+january!J24+february!J24+march!J24+april!J24+may!J24+june!J24+july!J24+august!J24+september!J24+'october '!J24+november!J24+december!J24</f>
        <v>89000000</v>
      </c>
      <c r="K24" s="12">
        <f>+january!K24+february!K24+march!K24+april!K24+may!K24+june!K24+july!K24+august!K24+september!K24+'october '!K24+november!K24+december!K24</f>
        <v>89000000</v>
      </c>
      <c r="L24" s="12">
        <f>+J24-K24</f>
        <v>0</v>
      </c>
      <c r="M24" s="12"/>
      <c r="N24" s="12">
        <f>+january!N24+february!N24+march!N24+april!N24+may!N24+june!N24+july!N24+august!N24+september!N24+'october '!N24+november!N24+december!N24</f>
        <v>0</v>
      </c>
      <c r="O24" s="12">
        <f>+january!O24+february!O24+march!O24+april!O24+may!O24+june!O24+july!O24+august!O24+september!O24+'october '!O24+november!O24+december!O24</f>
        <v>0</v>
      </c>
      <c r="P24" s="12">
        <f>+N24-O24</f>
        <v>0</v>
      </c>
      <c r="Q24" s="13"/>
      <c r="R24" s="12">
        <f t="shared" ref="R24:S26" si="8">+F24+J24+N24</f>
        <v>854663999.99857152</v>
      </c>
      <c r="S24" s="12">
        <f t="shared" si="8"/>
        <v>854504744.418571</v>
      </c>
      <c r="T24" s="14">
        <f>+R24-S24</f>
        <v>159255.58000051975</v>
      </c>
      <c r="U24" s="17">
        <f t="shared" si="7"/>
        <v>0.99981366293654494</v>
      </c>
    </row>
    <row r="25" spans="2:21" ht="27.75" customHeight="1">
      <c r="B25" s="18"/>
      <c r="C25" s="10"/>
      <c r="D25" s="10"/>
      <c r="E25" s="22" t="s">
        <v>28</v>
      </c>
      <c r="F25" s="12">
        <f>+january!F25+february!F25+march!F25+april!F25+may!F25+june!F25+july!F25+august!F25+september!F25+'october '!F25+november!F25+december!F25</f>
        <v>81511156</v>
      </c>
      <c r="G25" s="12">
        <f>+january!G25+february!G25+march!G25+april!G25+may!G25+june!G25+july!G25+august!G25+september!G25+'october '!G25+november!G25+december!G25</f>
        <v>81497184.75999999</v>
      </c>
      <c r="H25" s="12">
        <f>+F25-G25</f>
        <v>13971.240000009537</v>
      </c>
      <c r="I25" s="13"/>
      <c r="J25" s="12">
        <f>+january!J25+february!J25+march!J25+april!J25+may!J25+june!J25+july!J25+august!J25+september!J25+'october '!J25+november!J25+december!J25</f>
        <v>41851000</v>
      </c>
      <c r="K25" s="12">
        <f>+january!K25+february!K25+march!K25+april!K25+may!K25+june!K25+july!K25+august!K25+september!K25+'october '!K25+november!K25+december!K25</f>
        <v>41851000</v>
      </c>
      <c r="L25" s="12">
        <f>+J25-K25</f>
        <v>0</v>
      </c>
      <c r="M25" s="12"/>
      <c r="N25" s="12">
        <f>+january!N25+february!N25+march!N25+april!N25+may!N25+june!N25+july!N25+august!N25+september!N25+'october '!N25+november!N25+december!N25</f>
        <v>0</v>
      </c>
      <c r="O25" s="12">
        <f>+january!O25+february!O25+march!O25+april!O25+may!O25+june!O25+july!O25+august!O25+september!O25+'october '!O25+november!O25+december!O25</f>
        <v>0</v>
      </c>
      <c r="P25" s="12">
        <f>+N25-O25</f>
        <v>0</v>
      </c>
      <c r="Q25" s="13"/>
      <c r="R25" s="12">
        <f t="shared" si="8"/>
        <v>123362156</v>
      </c>
      <c r="S25" s="12">
        <f t="shared" si="8"/>
        <v>123348184.75999999</v>
      </c>
      <c r="T25" s="14">
        <f>+R25-S25</f>
        <v>13971.240000009537</v>
      </c>
      <c r="U25" s="17">
        <f t="shared" si="7"/>
        <v>0.99988674614279593</v>
      </c>
    </row>
    <row r="26" spans="2:21" ht="27.75" customHeight="1">
      <c r="B26" s="18"/>
      <c r="C26" s="10"/>
      <c r="D26" s="10"/>
      <c r="E26" s="22" t="s">
        <v>29</v>
      </c>
      <c r="F26" s="12">
        <f>+january!F26+february!F26+march!F26+april!F26+may!F26+june!F26+july!F26+august!F26+september!F26+'october '!F26+november!F26+december!F26</f>
        <v>74728347</v>
      </c>
      <c r="G26" s="12">
        <f>+january!G26+february!G26+march!G26+april!G26+may!G26+june!G26+july!G26+august!G26+september!G26+'october '!G26+november!G26+december!G26</f>
        <v>69621395.580000013</v>
      </c>
      <c r="H26" s="12">
        <f>+F26-G26</f>
        <v>5106951.4199999869</v>
      </c>
      <c r="I26" s="13"/>
      <c r="J26" s="12">
        <f>+january!J26+february!J26+march!J26+april!J26+may!J26+june!J26+july!J26+august!J26+september!J26+'october '!J26+november!J26+december!J26</f>
        <v>10520000</v>
      </c>
      <c r="K26" s="12">
        <f>+january!K26+february!K26+march!K26+april!K26+may!K26+june!K26+july!K26+august!K26+september!K26+'october '!K26+november!K26+december!K26</f>
        <v>10000000</v>
      </c>
      <c r="L26" s="12">
        <f>+J26-K26</f>
        <v>520000</v>
      </c>
      <c r="M26" s="12"/>
      <c r="N26" s="12">
        <f>+january!N26+february!N26+march!N26+april!N26+may!N26+june!N26+july!N26+august!N26+september!N26+'october '!N26+november!N26+december!N26</f>
        <v>65888994</v>
      </c>
      <c r="O26" s="12">
        <f>+january!O26+february!O26+march!O26+april!O26+may!O26+june!O26+july!O26+august!O26+september!O26+'october '!O26+november!O26+december!O26</f>
        <v>32005756.239999995</v>
      </c>
      <c r="P26" s="12">
        <f>+N26-O26</f>
        <v>33883237.760000005</v>
      </c>
      <c r="Q26" s="13"/>
      <c r="R26" s="12">
        <f t="shared" si="8"/>
        <v>151137341</v>
      </c>
      <c r="S26" s="12">
        <f t="shared" si="8"/>
        <v>111627151.82000001</v>
      </c>
      <c r="T26" s="14">
        <f>+R26-S26</f>
        <v>39510189.179999992</v>
      </c>
      <c r="U26" s="17">
        <f t="shared" si="7"/>
        <v>0.73858088994697879</v>
      </c>
    </row>
    <row r="27" spans="2:21" ht="24.95" customHeight="1">
      <c r="B27" s="18"/>
      <c r="C27" s="10"/>
      <c r="D27" s="10"/>
      <c r="E27" s="22"/>
      <c r="F27" s="12">
        <f>+january!F27+february!F27+march!F27+april!F27+may!F27+june!F27+july!F27+august!F27+september!F27+'october '!F27+november!F27+december!F27</f>
        <v>0</v>
      </c>
      <c r="G27" s="12">
        <f>+january!G27+february!G27+march!G27+april!G27+may!G27+june!G27+july!G27+august!G27+september!G27+'october '!G27+november!G27+december!G27</f>
        <v>0</v>
      </c>
      <c r="H27" s="12"/>
      <c r="I27" s="13"/>
      <c r="J27" s="12">
        <f>+january!J27+february!J27+march!J27+april!J27+may!J27+june!J27+july!J27+august!J27+september!J27+'october '!J27+november!J27+december!J27</f>
        <v>0</v>
      </c>
      <c r="K27" s="12">
        <f>+january!K27+february!K27+march!K27+april!K27+may!K27+june!K27+july!K27+august!K27+september!K27+'october '!K27+november!K27+december!K27</f>
        <v>0</v>
      </c>
      <c r="L27" s="12"/>
      <c r="M27" s="12"/>
      <c r="N27" s="12">
        <f>+january!N27+february!N27+march!N27+april!N27+may!N27+june!N27+july!N27+august!N27+september!N27+'october '!N27+november!N27+december!N27</f>
        <v>0</v>
      </c>
      <c r="O27" s="12">
        <f>+january!O27+february!O27+march!O27+april!O27+may!O27+june!O27+july!O27+august!O27+september!O27+'october '!O27+november!O27+december!O27</f>
        <v>0</v>
      </c>
      <c r="P27" s="12"/>
      <c r="Q27" s="13"/>
      <c r="R27" s="12"/>
      <c r="S27" s="12"/>
      <c r="T27" s="14"/>
      <c r="U27" s="17"/>
    </row>
    <row r="28" spans="2:21" ht="24.95" customHeight="1">
      <c r="B28" s="18"/>
      <c r="C28" s="20" t="s">
        <v>30</v>
      </c>
      <c r="D28" s="20"/>
      <c r="E28" s="10"/>
      <c r="F28" s="12">
        <f>+january!F28+february!F28+march!F28+april!F28+may!F28+june!F28+july!F28+august!F28+september!F28+'october '!F28+november!F28+december!F28</f>
        <v>0</v>
      </c>
      <c r="G28" s="12">
        <f>+january!G28+february!G28+march!G28+april!G28+may!G28+june!G28+july!G28+august!G28+september!G28+'october '!G28+november!G28+december!G28</f>
        <v>0</v>
      </c>
      <c r="H28" s="12"/>
      <c r="I28" s="13"/>
      <c r="J28" s="12">
        <f>+january!J28+february!J28+march!J28+april!J28+may!J28+june!J28+july!J28+august!J28+september!J28+'october '!J28+november!J28+december!J28</f>
        <v>0</v>
      </c>
      <c r="K28" s="12">
        <f>+january!K28+february!K28+march!K28+april!K28+may!K28+june!K28+july!K28+august!K28+september!K28+'october '!K28+november!K28+december!K28</f>
        <v>0</v>
      </c>
      <c r="L28" s="12"/>
      <c r="M28" s="12"/>
      <c r="N28" s="12">
        <f>+january!N28+february!N28+march!N28+april!N28+may!N28+june!N28+july!N28+august!N28+september!N28+'october '!N28+november!N28+december!N28</f>
        <v>0</v>
      </c>
      <c r="O28" s="12">
        <f>+january!O28+february!O28+march!O28+april!O28+may!O28+june!O28+july!O28+august!O28+september!O28+'october '!O28+november!O28+december!O28</f>
        <v>0</v>
      </c>
      <c r="P28" s="12"/>
      <c r="Q28" s="13"/>
      <c r="R28" s="12"/>
      <c r="S28" s="12"/>
      <c r="T28" s="14"/>
      <c r="U28" s="17"/>
    </row>
    <row r="29" spans="2:21" ht="24.95" customHeight="1">
      <c r="B29" s="18"/>
      <c r="C29" s="20"/>
      <c r="D29" s="20"/>
      <c r="E29" s="10" t="s">
        <v>31</v>
      </c>
      <c r="F29" s="12">
        <f>+january!F29+february!F29+march!F29+april!F29+may!F29+june!F29+july!F29+august!F29+september!F29+'october '!F29+november!F29+december!F29</f>
        <v>437399220.83999991</v>
      </c>
      <c r="G29" s="12">
        <f>+january!G29+february!G29+march!G29+april!G29+may!G29+june!G29+july!G29+august!G29+september!G29+'october '!G29+november!G29+december!G29</f>
        <v>373134510.74000001</v>
      </c>
      <c r="H29" s="12">
        <f>+F29-G29</f>
        <v>64264710.099999905</v>
      </c>
      <c r="I29" s="13"/>
      <c r="J29" s="12">
        <f>+january!J29+february!J29+march!J29+april!J29+may!J29+june!J29+july!J29+august!J29+september!J29+'october '!J29+november!J29+december!J29</f>
        <v>260633870.36000001</v>
      </c>
      <c r="K29" s="12">
        <f>+january!K29+february!K29+march!K29+april!K29+may!K29+june!K29+july!K29+august!K29+september!K29+'october '!K29+november!K29+december!K29</f>
        <v>246074468.69999999</v>
      </c>
      <c r="L29" s="12">
        <f>+J29-K29</f>
        <v>14559401.660000026</v>
      </c>
      <c r="M29" s="12"/>
      <c r="N29" s="12">
        <f>+january!N29+february!N29+march!N29+april!N29+may!N29+june!N29+july!N29+august!N29+september!N29+'october '!N29+november!N29+december!N29</f>
        <v>177643896.10000002</v>
      </c>
      <c r="O29" s="12">
        <f>+january!O29+february!O29+march!O29+april!O29+may!O29+june!O29+july!O29+august!O29+september!O29+'october '!O29+november!O29+december!O29</f>
        <v>177373817</v>
      </c>
      <c r="P29" s="12">
        <f>+N29-O29</f>
        <v>270079.10000002384</v>
      </c>
      <c r="Q29" s="13"/>
      <c r="R29" s="12">
        <f t="shared" ref="R29:S32" si="9">+F29+J29+N29</f>
        <v>875676987.29999995</v>
      </c>
      <c r="S29" s="12">
        <f t="shared" si="9"/>
        <v>796582796.44000006</v>
      </c>
      <c r="T29" s="14">
        <f>+R29-S29</f>
        <v>79094190.859999895</v>
      </c>
      <c r="U29" s="17">
        <f t="shared" si="7"/>
        <v>0.90967652227121631</v>
      </c>
    </row>
    <row r="30" spans="2:21" ht="28.5" customHeight="1">
      <c r="B30" s="18"/>
      <c r="C30" s="10"/>
      <c r="D30" s="10"/>
      <c r="E30" s="22" t="s">
        <v>32</v>
      </c>
      <c r="F30" s="12">
        <f>+january!F30+february!F30+march!F30+april!F30+may!F30+june!F30+july!F30+august!F30+september!F30+'october '!F30+november!F30+december!F30</f>
        <v>724690670</v>
      </c>
      <c r="G30" s="12">
        <f>+january!G30+february!G30+march!G30+april!G30+may!G30+june!G30+july!G30+august!G30+september!G30+'october '!G30+november!G30+december!G30</f>
        <v>566004427.25999999</v>
      </c>
      <c r="H30" s="12">
        <f>+F30-G30</f>
        <v>158686242.74000001</v>
      </c>
      <c r="I30" s="13"/>
      <c r="J30" s="12">
        <f>+january!J30+february!J30+march!J30+april!J30+may!J30+june!J30+july!J30+august!J30+september!J30+'october '!J30+november!J30+december!J30</f>
        <v>8920000</v>
      </c>
      <c r="K30" s="12">
        <f>+january!K30+february!K30+march!K30+april!K30+may!K30+june!K30+july!K30+august!K30+september!K30+'october '!K30+november!K30+december!K30</f>
        <v>5724500.79</v>
      </c>
      <c r="L30" s="12">
        <f>+J30-K30</f>
        <v>3195499.21</v>
      </c>
      <c r="M30" s="12"/>
      <c r="N30" s="12">
        <f>+january!N30+february!N30+march!N30+april!N30+may!N30+june!N30+july!N30+august!N30+september!N30+'october '!N30+november!N30+december!N30</f>
        <v>1957994</v>
      </c>
      <c r="O30" s="12">
        <f>+january!O30+february!O30+march!O30+april!O30+may!O30+june!O30+july!O30+august!O30+september!O30+'october '!O30+november!O30+december!O30</f>
        <v>1365425.32</v>
      </c>
      <c r="P30" s="12">
        <f>+N30-O30</f>
        <v>592568.67999999993</v>
      </c>
      <c r="Q30" s="13"/>
      <c r="R30" s="12">
        <f t="shared" si="9"/>
        <v>735568664</v>
      </c>
      <c r="S30" s="12">
        <f t="shared" si="9"/>
        <v>573094353.37</v>
      </c>
      <c r="T30" s="14">
        <f>+R30-S30</f>
        <v>162474310.63</v>
      </c>
      <c r="U30" s="17">
        <f t="shared" si="7"/>
        <v>0.77911741135563106</v>
      </c>
    </row>
    <row r="31" spans="2:21" ht="28.5" customHeight="1">
      <c r="B31" s="18"/>
      <c r="C31" s="10"/>
      <c r="D31" s="10"/>
      <c r="E31" s="22" t="s">
        <v>33</v>
      </c>
      <c r="F31" s="12">
        <f>+january!F31+february!F31+march!F31+april!F31+may!F31+june!F31+july!F31+august!F31+september!F31+'october '!F31+november!F31+december!F31</f>
        <v>335320000</v>
      </c>
      <c r="G31" s="12">
        <f>+january!G31+february!G31+march!G31+april!G31+may!G31+june!G31+july!G31+august!G31+september!G31+'october '!G31+november!G31+december!G31</f>
        <v>320396130.23000002</v>
      </c>
      <c r="H31" s="12">
        <f>+F31-G31</f>
        <v>14923869.769999981</v>
      </c>
      <c r="I31" s="13"/>
      <c r="J31" s="12">
        <f>+january!J31+february!J31+march!J31+april!J31+may!J31+june!J31+july!J31+august!J31+september!J31+'october '!J31+november!J31+december!J31</f>
        <v>2710000</v>
      </c>
      <c r="K31" s="12">
        <f>+january!K31+february!K31+march!K31+april!K31+may!K31+june!K31+july!K31+august!K31+september!K31+'october '!K31+november!K31+december!K31</f>
        <v>2472500</v>
      </c>
      <c r="L31" s="12">
        <f>+J31-K31</f>
        <v>237500</v>
      </c>
      <c r="M31" s="12"/>
      <c r="N31" s="12">
        <f>+january!N31+february!N31+march!N31+april!N31+may!N31+june!N31+july!N31+august!N31+september!N31+'october '!N31+november!N31+december!N31</f>
        <v>4201232.91</v>
      </c>
      <c r="O31" s="12">
        <f>+january!O31+february!O31+march!O31+april!O31+may!O31+june!O31+july!O31+august!O31+september!O31+'october '!O31+november!O31+december!O31</f>
        <v>4174317.6</v>
      </c>
      <c r="P31" s="12">
        <f>+N31-O31</f>
        <v>26915.310000000056</v>
      </c>
      <c r="Q31" s="13"/>
      <c r="R31" s="12">
        <f t="shared" si="9"/>
        <v>342231232.91000003</v>
      </c>
      <c r="S31" s="12">
        <f t="shared" si="9"/>
        <v>327042947.83000004</v>
      </c>
      <c r="T31" s="14">
        <f>+R31-S31</f>
        <v>15188285.079999983</v>
      </c>
      <c r="U31" s="17">
        <f t="shared" si="7"/>
        <v>0.95561981602072477</v>
      </c>
    </row>
    <row r="32" spans="2:21" ht="28.5" customHeight="1">
      <c r="B32" s="18"/>
      <c r="C32" s="10"/>
      <c r="D32" s="10"/>
      <c r="E32" s="22" t="s">
        <v>34</v>
      </c>
      <c r="F32" s="12">
        <f>+january!F32+february!F32+march!F32+april!F32+may!F32+june!F32+july!F32+august!F32+september!F32+'october '!F32+november!F32+december!F32</f>
        <v>68949435</v>
      </c>
      <c r="G32" s="12">
        <f>+january!G32+february!G32+march!G32+april!G32+may!G32+june!G32+july!G32+august!G32+september!G32+'october '!G32+november!G32+december!G32</f>
        <v>65587321.970000014</v>
      </c>
      <c r="H32" s="12">
        <f>+F32-G32</f>
        <v>3362113.0299999863</v>
      </c>
      <c r="I32" s="13"/>
      <c r="J32" s="12">
        <f>+january!J32+february!J32+march!J32+april!J32+may!J32+june!J32+july!J32+august!J32+september!J32+'october '!J32+november!J32+december!J32</f>
        <v>535000</v>
      </c>
      <c r="K32" s="12">
        <f>+january!K32+february!K32+march!K32+april!K32+may!K32+june!K32+july!K32+august!K32+september!K32+'october '!K32+november!K32+december!K32</f>
        <v>535000</v>
      </c>
      <c r="L32" s="12">
        <f>+J32-K32</f>
        <v>0</v>
      </c>
      <c r="M32" s="12"/>
      <c r="N32" s="12">
        <f>+january!N32+february!N32+march!N32+april!N32+may!N32+june!N32+july!N32+august!N32+september!N32+'october '!N32+november!N32+december!N32</f>
        <v>1195351</v>
      </c>
      <c r="O32" s="12">
        <f>+january!O32+february!O32+march!O32+april!O32+may!O32+june!O32+july!O32+august!O32+september!O32+'october '!O32+november!O32+december!O32</f>
        <v>1195350.22</v>
      </c>
      <c r="P32" s="12">
        <f>+N32-O32</f>
        <v>0.78000000002793968</v>
      </c>
      <c r="Q32" s="13"/>
      <c r="R32" s="12">
        <f t="shared" si="9"/>
        <v>70679786</v>
      </c>
      <c r="S32" s="12">
        <f t="shared" si="9"/>
        <v>67317672.190000013</v>
      </c>
      <c r="T32" s="14">
        <f>+R32-S32</f>
        <v>3362113.8099999875</v>
      </c>
      <c r="U32" s="17">
        <f t="shared" si="7"/>
        <v>0.9524317488737164</v>
      </c>
    </row>
    <row r="33" spans="2:23" ht="27.75" customHeight="1">
      <c r="B33" s="18"/>
      <c r="C33" s="10"/>
      <c r="D33" s="10"/>
      <c r="E33" s="22"/>
      <c r="F33" s="12">
        <f>+january!F33+february!F33+march!F33+april!F33+may!F33+june!F33+july!F33+august!F33+september!F33+'october '!F33+november!F33+december!F33</f>
        <v>0</v>
      </c>
      <c r="G33" s="12">
        <f>+january!G33+february!G33+march!G33+april!G33+may!G33+june!G33+july!G33+august!G33+september!G33+'october '!G33+november!G33+december!G33</f>
        <v>0</v>
      </c>
      <c r="H33" s="12"/>
      <c r="I33" s="13"/>
      <c r="J33" s="12">
        <f>+january!J33+february!J33+march!J33+april!J33+may!J33+june!J33+july!J33+august!J33+september!J33+'october '!J33+november!J33+december!J33</f>
        <v>0</v>
      </c>
      <c r="K33" s="12">
        <f>+january!K33+february!K33+march!K33+april!K33+may!K33+june!K33+july!K33+august!K33+september!K33+'october '!K33+november!K33+december!K33</f>
        <v>0</v>
      </c>
      <c r="L33" s="12"/>
      <c r="M33" s="12"/>
      <c r="N33" s="12">
        <f>+january!N33+february!N33+march!N33+april!N33+may!N33+june!N33+july!N33+august!N33+september!N33+'october '!N33+november!N33+december!N33</f>
        <v>0</v>
      </c>
      <c r="O33" s="12">
        <f>+january!O33+february!O33+march!O33+april!O33+may!O33+june!O33+july!O33+august!O33+september!O33+'october '!O33+november!O33+december!O33</f>
        <v>0</v>
      </c>
      <c r="P33" s="12"/>
      <c r="Q33" s="13"/>
      <c r="R33" s="12"/>
      <c r="S33" s="12"/>
      <c r="T33" s="14"/>
      <c r="U33" s="17"/>
    </row>
    <row r="34" spans="2:23" ht="24.95" customHeight="1">
      <c r="B34" s="18"/>
      <c r="C34" s="24" t="s">
        <v>35</v>
      </c>
      <c r="D34" s="10"/>
      <c r="E34" s="22"/>
      <c r="F34" s="12">
        <f>+january!F34+february!F34+march!F34+april!F34+may!F34+june!F34+july!F34+august!F34+september!F34+'october '!F34+november!F34+december!F34</f>
        <v>0</v>
      </c>
      <c r="G34" s="12">
        <f>+january!G34+february!G34+march!G34+april!G34+may!G34+june!G34+july!G34+august!G34+september!G34+'october '!G34+november!G34+december!G34</f>
        <v>0</v>
      </c>
      <c r="H34" s="12"/>
      <c r="I34" s="13"/>
      <c r="J34" s="12">
        <f>+january!J34+february!J34+march!J34+april!J34+may!J34+june!J34+july!J34+august!J34+september!J34+'october '!J34+november!J34+december!J34</f>
        <v>0</v>
      </c>
      <c r="K34" s="12">
        <f>+january!K34+february!K34+march!K34+april!K34+may!K34+june!K34+july!K34+august!K34+september!K34+'october '!K34+november!K34+december!K34</f>
        <v>0</v>
      </c>
      <c r="L34" s="12"/>
      <c r="M34" s="12"/>
      <c r="N34" s="12">
        <f>+january!N34+february!N34+march!N34+april!N34+may!N34+june!N34+july!N34+august!N34+september!N34+'october '!N34+november!N34+december!N34</f>
        <v>0</v>
      </c>
      <c r="O34" s="12">
        <f>+january!O34+february!O34+march!O34+april!O34+may!O34+june!O34+july!O34+august!O34+september!O34+'october '!O34+november!O34+december!O34</f>
        <v>0</v>
      </c>
      <c r="P34" s="12"/>
      <c r="Q34" s="13"/>
      <c r="R34" s="12"/>
      <c r="S34" s="12"/>
      <c r="T34" s="14"/>
      <c r="U34" s="17"/>
    </row>
    <row r="35" spans="2:23" ht="24.95" customHeight="1">
      <c r="B35" s="18"/>
      <c r="C35" s="10"/>
      <c r="D35" s="25" t="s">
        <v>36</v>
      </c>
      <c r="E35" s="26"/>
      <c r="F35" s="12">
        <f>+january!F35+february!F35+march!F35+april!F35+may!F35+june!F35+july!F35+august!F35+september!F35+'october '!F35+november!F35+december!F35</f>
        <v>276404300</v>
      </c>
      <c r="G35" s="12">
        <f>+january!G35+february!G35+march!G35+april!G35+may!G35+june!G35+july!G35+august!G35+september!G35+'october '!G35+november!G35+december!G35</f>
        <v>245226953.65000001</v>
      </c>
      <c r="H35" s="12">
        <f>+F35-G35</f>
        <v>31177346.349999994</v>
      </c>
      <c r="I35" s="13"/>
      <c r="J35" s="12">
        <f>+january!J35+february!J35+march!J35+april!J35+may!J35+june!J35+july!J35+august!J35+september!J35+'october '!J35+november!J35+december!J35</f>
        <v>2235000</v>
      </c>
      <c r="K35" s="12">
        <f>+january!K35+february!K35+march!K35+april!K35+may!K35+june!K35+july!K35+august!K35+september!K35+'october '!K35+november!K35+december!K35</f>
        <v>2145000</v>
      </c>
      <c r="L35" s="12">
        <f>+J35-K35</f>
        <v>90000</v>
      </c>
      <c r="M35" s="12"/>
      <c r="N35" s="12">
        <f>+january!N35+february!N35+march!N35+april!N35+may!N35+june!N35+july!N35+august!N35+september!N35+'october '!N35+november!N35+december!N35</f>
        <v>7479056</v>
      </c>
      <c r="O35" s="12">
        <f>+january!O35+february!O35+march!O35+april!O35+may!O35+june!O35+july!O35+august!O35+september!O35+'october '!O35+november!O35+december!O35</f>
        <v>6375003.5199999996</v>
      </c>
      <c r="P35" s="12">
        <f>+N35-O35</f>
        <v>1104052.4800000004</v>
      </c>
      <c r="Q35" s="13"/>
      <c r="R35" s="12">
        <f t="shared" ref="R35:S46" si="10">+F35+J35+N35</f>
        <v>286118356</v>
      </c>
      <c r="S35" s="12">
        <f t="shared" si="10"/>
        <v>253746957.17000002</v>
      </c>
      <c r="T35" s="14">
        <f>+R35-S35</f>
        <v>32371398.829999983</v>
      </c>
      <c r="U35" s="17">
        <f t="shared" si="7"/>
        <v>0.88686011172942714</v>
      </c>
    </row>
    <row r="36" spans="2:23" ht="24.95" customHeight="1">
      <c r="B36" s="18"/>
      <c r="C36" s="10"/>
      <c r="D36" s="27" t="s">
        <v>37</v>
      </c>
      <c r="E36" s="22"/>
      <c r="F36" s="12">
        <f>+january!F36+february!F36+march!F36+april!F36+may!F36+june!F36+july!F36+august!F36+september!F36+'october '!F36+november!F36+december!F36</f>
        <v>1175482457.3899999</v>
      </c>
      <c r="G36" s="12">
        <f>+january!G36+february!G36+march!G36+april!G36+may!G36+june!G36+july!G36+august!G36+september!G36+'october '!G36+november!G36+december!G36</f>
        <v>865617658.69999993</v>
      </c>
      <c r="H36" s="12">
        <f>+F36-G36</f>
        <v>309864798.68999994</v>
      </c>
      <c r="I36" s="13"/>
      <c r="J36" s="12">
        <f>+january!J36+february!J36+march!J36+april!J36+may!J36+june!J36+july!J36+august!J36+september!J36+'october '!J36+november!J36+december!J36</f>
        <v>99004370.379999995</v>
      </c>
      <c r="K36" s="12">
        <f>+january!K36+february!K36+march!K36+april!K36+may!K36+june!K36+july!K36+august!K36+september!K36+'october '!K36+november!K36+december!K36</f>
        <v>92114488.099999994</v>
      </c>
      <c r="L36" s="12">
        <f>+J36-K36</f>
        <v>6889882.2800000012</v>
      </c>
      <c r="M36" s="12"/>
      <c r="N36" s="12">
        <f>+january!N36+february!N36+march!N36+april!N36+may!N36+june!N36+july!N36+august!N36+september!N36+'october '!N36+november!N36+december!N36</f>
        <v>5813224.5800000001</v>
      </c>
      <c r="O36" s="12">
        <f>+january!O36+february!O36+march!O36+april!O36+may!O36+june!O36+july!O36+august!O36+september!O36+'october '!O36+november!O36+december!O36</f>
        <v>3728895.5300000003</v>
      </c>
      <c r="P36" s="12">
        <f>+N36-O36</f>
        <v>2084329.0499999998</v>
      </c>
      <c r="Q36" s="13"/>
      <c r="R36" s="12">
        <f t="shared" si="10"/>
        <v>1280300052.3499999</v>
      </c>
      <c r="S36" s="12">
        <f t="shared" si="10"/>
        <v>961461042.32999992</v>
      </c>
      <c r="T36" s="14">
        <f>+R36-S36</f>
        <v>318839010.01999998</v>
      </c>
      <c r="U36" s="17">
        <f t="shared" si="7"/>
        <v>0.7509654010911202</v>
      </c>
    </row>
    <row r="37" spans="2:23" ht="24.95" customHeight="1">
      <c r="B37" s="18"/>
      <c r="C37" s="10"/>
      <c r="D37" s="28" t="s">
        <v>38</v>
      </c>
      <c r="E37" s="22"/>
      <c r="F37" s="12">
        <f>+january!F37+february!F37+march!F37+april!F37+may!F37+june!F37+july!F37+august!F37+september!F37+'october '!F37+november!F37+december!F37</f>
        <v>933433853.49000001</v>
      </c>
      <c r="G37" s="12">
        <f>+january!G37+february!G37+march!G37+april!G37+may!G37+june!G37+july!G37+august!G37+september!G37+'october '!G37+november!G37+december!G37</f>
        <v>475359995.87</v>
      </c>
      <c r="H37" s="12">
        <f>+F37-G37</f>
        <v>458073857.62</v>
      </c>
      <c r="I37" s="13"/>
      <c r="J37" s="12">
        <f>+january!J37+february!J37+march!J37+april!J37+may!J37+june!J37+july!J37+august!J37+september!J37+'october '!J37+november!J37+december!J37</f>
        <v>6295000</v>
      </c>
      <c r="K37" s="12">
        <f>+january!K37+february!K37+march!K37+april!K37+may!K37+june!K37+july!K37+august!K37+september!K37+'october '!K37+november!K37+december!K37</f>
        <v>6000000</v>
      </c>
      <c r="L37" s="12">
        <f>+J37-K37</f>
        <v>295000</v>
      </c>
      <c r="M37" s="12"/>
      <c r="N37" s="12">
        <f>+january!N37+february!N37+march!N37+april!N37+may!N37+june!N37+july!N37+august!N37+september!N37+'october '!N37+november!N37+december!N37</f>
        <v>35165375.039999999</v>
      </c>
      <c r="O37" s="12">
        <f>+january!O37+february!O37+march!O37+april!O37+may!O37+june!O37+july!O37+august!O37+september!O37+'october '!O37+november!O37+december!O37</f>
        <v>34771471.32</v>
      </c>
      <c r="P37" s="12">
        <f>+N37-O37</f>
        <v>393903.71999999881</v>
      </c>
      <c r="Q37" s="13"/>
      <c r="R37" s="12">
        <f t="shared" si="10"/>
        <v>974894228.52999997</v>
      </c>
      <c r="S37" s="12">
        <f t="shared" si="10"/>
        <v>516131467.19</v>
      </c>
      <c r="T37" s="14">
        <f>+R37-S37</f>
        <v>458762761.33999997</v>
      </c>
      <c r="U37" s="17">
        <f t="shared" si="7"/>
        <v>0.52942304107005733</v>
      </c>
    </row>
    <row r="38" spans="2:23" ht="24.95" customHeight="1">
      <c r="B38" s="18"/>
      <c r="C38" s="10"/>
      <c r="D38" s="28" t="s">
        <v>39</v>
      </c>
      <c r="E38" s="22"/>
      <c r="F38" s="12">
        <f>+january!F38+february!F38+march!F38+april!F38+may!F38+june!F38+july!F38+august!F38+september!F38+'october '!F38+november!F38+december!F38</f>
        <v>967750607.42999995</v>
      </c>
      <c r="G38" s="12">
        <f>+january!G38+february!G38+march!G38+april!G38+may!G38+june!G38+july!G38+august!G38+september!G38+'october '!G38+november!G38+december!G38</f>
        <v>707251839.49000001</v>
      </c>
      <c r="H38" s="12">
        <f>+F38-G38</f>
        <v>260498767.93999994</v>
      </c>
      <c r="I38" s="13"/>
      <c r="J38" s="12">
        <f>+january!J38+february!J38+march!J38+april!J38+may!J38+june!J38+july!J38+august!J38+september!J38+'october '!J38+november!J38+december!J38</f>
        <v>7365000</v>
      </c>
      <c r="K38" s="12">
        <f>+january!K38+february!K38+march!K38+april!K38+may!K38+june!K38+july!K38+august!K38+september!K38+'october '!K38+november!K38+december!K38</f>
        <v>7365000</v>
      </c>
      <c r="L38" s="12">
        <f>+J38-K38</f>
        <v>0</v>
      </c>
      <c r="M38" s="12"/>
      <c r="N38" s="12">
        <f>+january!N38+february!N38+march!N38+april!N38+may!N38+june!N38+july!N38+august!N38+september!N38+'october '!N38+november!N38+december!N38</f>
        <v>14593735</v>
      </c>
      <c r="O38" s="12">
        <f>+january!O38+february!O38+march!O38+april!O38+may!O38+june!O38+july!O38+august!O38+september!O38+'october '!O38+november!O38+december!O38</f>
        <v>12233713.819999998</v>
      </c>
      <c r="P38" s="12">
        <f>+N38-O38</f>
        <v>2360021.1800000016</v>
      </c>
      <c r="Q38" s="13"/>
      <c r="R38" s="12">
        <f t="shared" si="10"/>
        <v>989709342.42999995</v>
      </c>
      <c r="S38" s="12">
        <f t="shared" si="10"/>
        <v>726850553.31000006</v>
      </c>
      <c r="T38" s="14">
        <f>+R38-S38</f>
        <v>262858789.11999989</v>
      </c>
      <c r="U38" s="17">
        <f t="shared" si="7"/>
        <v>0.73440809553781561</v>
      </c>
    </row>
    <row r="39" spans="2:23" ht="24.95" customHeight="1">
      <c r="B39" s="18"/>
      <c r="C39" s="10"/>
      <c r="D39" s="28" t="s">
        <v>40</v>
      </c>
      <c r="E39" s="22"/>
      <c r="F39" s="12">
        <f>+january!F39+february!F39+march!F39+april!F39+may!F39+june!F39+july!F39+august!F39+september!F39+'october '!F39+november!F39+december!F39</f>
        <v>1141579777</v>
      </c>
      <c r="G39" s="12">
        <f>+january!G39+february!G39+march!G39+april!G39+may!G39+june!G39+july!G39+august!G39+september!G39+'october '!G39+november!G39+december!G39</f>
        <v>911682931.57000005</v>
      </c>
      <c r="H39" s="12">
        <f t="shared" ref="H39:H44" si="11">+F39-G39</f>
        <v>229896845.42999995</v>
      </c>
      <c r="I39" s="13"/>
      <c r="J39" s="12">
        <f>+january!J39+february!J39+march!J39+april!J39+may!J39+june!J39+july!J39+august!J39+september!J39+'october '!J39+november!J39+december!J39</f>
        <v>57068660</v>
      </c>
      <c r="K39" s="12">
        <f>+january!K39+february!K39+march!K39+april!K39+may!K39+june!K39+july!K39+august!K39+september!K39+'october '!K39+november!K39+december!K39</f>
        <v>11185000</v>
      </c>
      <c r="L39" s="12">
        <f t="shared" ref="L39:L44" si="12">+J39-K39</f>
        <v>45883660</v>
      </c>
      <c r="M39" s="12"/>
      <c r="N39" s="12">
        <f>+january!N39+february!N39+march!N39+april!N39+may!N39+june!N39+july!N39+august!N39+september!N39+'october '!N39+november!N39+december!N39</f>
        <v>0</v>
      </c>
      <c r="O39" s="12">
        <f>+january!O39+february!O39+march!O39+april!O39+may!O39+june!O39+july!O39+august!O39+september!O39+'october '!O39+november!O39+december!O39</f>
        <v>0</v>
      </c>
      <c r="P39" s="12">
        <f t="shared" ref="P39:P44" si="13">+N39-O39</f>
        <v>0</v>
      </c>
      <c r="Q39" s="13"/>
      <c r="R39" s="12">
        <f t="shared" si="10"/>
        <v>1198648437</v>
      </c>
      <c r="S39" s="12">
        <f t="shared" si="10"/>
        <v>922867931.57000005</v>
      </c>
      <c r="T39" s="14">
        <f t="shared" ref="T39:T46" si="14">+R39-S39</f>
        <v>275780505.42999995</v>
      </c>
      <c r="U39" s="17">
        <f t="shared" si="7"/>
        <v>0.76992377671619161</v>
      </c>
    </row>
    <row r="40" spans="2:23" ht="24.95" customHeight="1">
      <c r="B40" s="18"/>
      <c r="C40" s="10"/>
      <c r="D40" s="28" t="s">
        <v>41</v>
      </c>
      <c r="E40" s="22"/>
      <c r="F40" s="12">
        <f>+january!F40+february!F40+march!F40+april!F40+may!F40+june!F40+july!F40+august!F40+september!F40+'october '!F40+november!F40+december!F40</f>
        <v>347557809</v>
      </c>
      <c r="G40" s="12">
        <f>+january!G40+february!G40+march!G40+april!G40+may!G40+june!G40+july!G40+august!G40+september!G40+'october '!G40+november!G40+december!G40</f>
        <v>260171146.98000002</v>
      </c>
      <c r="H40" s="12">
        <f t="shared" si="11"/>
        <v>87386662.019999981</v>
      </c>
      <c r="I40" s="13"/>
      <c r="J40" s="12">
        <f>+january!J40+february!J40+march!J40+april!J40+may!J40+june!J40+july!J40+august!J40+september!J40+'october '!J40+november!J40+december!J40</f>
        <v>4434000</v>
      </c>
      <c r="K40" s="12">
        <f>+january!K40+february!K40+march!K40+april!K40+may!K40+june!K40+july!K40+august!K40+september!K40+'october '!K40+november!K40+december!K40</f>
        <v>4051250</v>
      </c>
      <c r="L40" s="12">
        <f t="shared" si="12"/>
        <v>382750</v>
      </c>
      <c r="M40" s="12"/>
      <c r="N40" s="12">
        <f>+january!N40+february!N40+march!N40+april!N40+may!N40+june!N40+july!N40+august!N40+september!N40+'october '!N40+november!N40+december!N40</f>
        <v>5894857</v>
      </c>
      <c r="O40" s="12">
        <f>+january!O40+february!O40+march!O40+april!O40+may!O40+june!O40+july!O40+august!O40+september!O40+'october '!O40+november!O40+december!O40</f>
        <v>4688046.13</v>
      </c>
      <c r="P40" s="12">
        <f t="shared" si="13"/>
        <v>1206810.8700000001</v>
      </c>
      <c r="Q40" s="13"/>
      <c r="R40" s="12">
        <f t="shared" si="10"/>
        <v>357886666</v>
      </c>
      <c r="S40" s="12">
        <f t="shared" si="10"/>
        <v>268910443.11000001</v>
      </c>
      <c r="T40" s="14">
        <f t="shared" si="14"/>
        <v>88976222.889999986</v>
      </c>
      <c r="U40" s="17">
        <f t="shared" si="7"/>
        <v>0.75138435895233946</v>
      </c>
    </row>
    <row r="41" spans="2:23" ht="24.95" customHeight="1">
      <c r="B41" s="18"/>
      <c r="C41" s="10"/>
      <c r="D41" s="28" t="s">
        <v>42</v>
      </c>
      <c r="E41" s="22"/>
      <c r="F41" s="12">
        <f>+january!F41+february!F41+march!F41+april!F41+may!F41+june!F41+july!F41+august!F41+september!F41+'october '!F41+november!F41+december!F41</f>
        <v>590680828</v>
      </c>
      <c r="G41" s="12">
        <f>+january!G41+february!G41+march!G41+april!G41+may!G41+june!G41+july!G41+august!G41+september!G41+'october '!G41+november!G41+december!G41</f>
        <v>491582782.12</v>
      </c>
      <c r="H41" s="12">
        <f t="shared" si="11"/>
        <v>99098045.879999995</v>
      </c>
      <c r="I41" s="13"/>
      <c r="J41" s="12">
        <f>+january!J41+february!J41+march!J41+april!J41+may!J41+june!J41+july!J41+august!J41+september!J41+'october '!J41+november!J41+december!J41</f>
        <v>23212000</v>
      </c>
      <c r="K41" s="12">
        <f>+january!K41+february!K41+march!K41+april!K41+may!K41+june!K41+july!K41+august!K41+september!K41+'october '!K41+november!K41+december!K41</f>
        <v>23212000</v>
      </c>
      <c r="L41" s="12">
        <f t="shared" si="12"/>
        <v>0</v>
      </c>
      <c r="M41" s="12"/>
      <c r="N41" s="12">
        <f>+january!N41+february!N41+march!N41+april!N41+may!N41+june!N41+july!N41+august!N41+september!N41+'october '!N41+november!N41+december!N41</f>
        <v>10451982</v>
      </c>
      <c r="O41" s="12">
        <f>+january!O41+february!O41+march!O41+april!O41+may!O41+june!O41+july!O41+august!O41+september!O41+'october '!O41+november!O41+december!O41</f>
        <v>8634615.4700000007</v>
      </c>
      <c r="P41" s="12">
        <f t="shared" si="13"/>
        <v>1817366.5299999993</v>
      </c>
      <c r="Q41" s="13"/>
      <c r="R41" s="12">
        <f t="shared" si="10"/>
        <v>624344810</v>
      </c>
      <c r="S41" s="12">
        <f t="shared" si="10"/>
        <v>523429397.59000003</v>
      </c>
      <c r="T41" s="14">
        <f t="shared" si="14"/>
        <v>100915412.40999997</v>
      </c>
      <c r="U41" s="17">
        <f t="shared" si="7"/>
        <v>0.83836589846882847</v>
      </c>
    </row>
    <row r="42" spans="2:23" ht="24.95" customHeight="1">
      <c r="B42" s="18"/>
      <c r="C42" s="10"/>
      <c r="D42" s="25" t="s">
        <v>43</v>
      </c>
      <c r="E42" s="22"/>
      <c r="F42" s="12">
        <f>+january!F42+february!F42+march!F42+april!F42+may!F42+june!F42+july!F42+august!F42+september!F42+'october '!F42+november!F42+december!F42</f>
        <v>430500343</v>
      </c>
      <c r="G42" s="12">
        <f>+january!G42+february!G42+march!G42+april!G42+may!G42+june!G42+july!G42+august!G42+september!G42+'october '!G42+november!G42+december!G42</f>
        <v>387825287.11000001</v>
      </c>
      <c r="H42" s="12">
        <f t="shared" si="11"/>
        <v>42675055.889999986</v>
      </c>
      <c r="I42" s="13">
        <v>2208000</v>
      </c>
      <c r="J42" s="12">
        <f>+january!J42+february!J42+march!J42+april!J42+may!J42+june!J42+july!J42+august!J42+september!J42+'october '!J42+november!J42+december!J42</f>
        <v>6110500</v>
      </c>
      <c r="K42" s="12">
        <f>+january!K42+february!K42+march!K42+april!K42+may!K42+june!K42+july!K42+august!K42+september!K42+'october '!K42+november!K42+december!K42</f>
        <v>6110500</v>
      </c>
      <c r="L42" s="12">
        <f t="shared" si="12"/>
        <v>0</v>
      </c>
      <c r="M42" s="12"/>
      <c r="N42" s="12">
        <f>+january!N42+february!N42+march!N42+april!N42+may!N42+june!N42+july!N42+august!N42+september!N42+'october '!N42+november!N42+december!N42</f>
        <v>6483281</v>
      </c>
      <c r="O42" s="12">
        <f>+january!O42+february!O42+march!O42+april!O42+may!O42+june!O42+july!O42+august!O42+september!O42+'october '!O42+november!O42+december!O42</f>
        <v>6542769.870000001</v>
      </c>
      <c r="P42" s="12">
        <f t="shared" si="13"/>
        <v>-59488.870000001043</v>
      </c>
      <c r="Q42" s="13"/>
      <c r="R42" s="12">
        <f t="shared" si="10"/>
        <v>443094124</v>
      </c>
      <c r="S42" s="12">
        <f t="shared" si="10"/>
        <v>400478556.98000002</v>
      </c>
      <c r="T42" s="14">
        <f t="shared" si="14"/>
        <v>42615567.019999981</v>
      </c>
      <c r="U42" s="17">
        <f t="shared" si="7"/>
        <v>0.90382276651450255</v>
      </c>
    </row>
    <row r="43" spans="2:23" ht="24.95" customHeight="1">
      <c r="B43" s="18"/>
      <c r="C43" s="10"/>
      <c r="D43" s="27" t="s">
        <v>44</v>
      </c>
      <c r="E43" s="22"/>
      <c r="F43" s="12">
        <f>+january!F43+february!F43+march!F43+april!F43+may!F43+june!F43+july!F43+august!F43+september!F43+'october '!F43+november!F43+december!F43</f>
        <v>778186232</v>
      </c>
      <c r="G43" s="12">
        <f>+january!G43+february!G43+march!G43+april!G43+may!G43+june!G43+july!G43+august!G43+september!G43+'october '!G43+november!G43+december!G43</f>
        <v>462250339.69999999</v>
      </c>
      <c r="H43" s="12">
        <f t="shared" si="11"/>
        <v>315935892.30000001</v>
      </c>
      <c r="I43" s="13"/>
      <c r="J43" s="12">
        <f>+january!J43+february!J43+march!J43+april!J43+may!J43+june!J43+july!J43+august!J43+september!J43+'october '!J43+november!J43+december!J43</f>
        <v>15326701.1</v>
      </c>
      <c r="K43" s="12">
        <f>+january!K43+february!K43+march!K43+april!K43+may!K43+june!K43+july!K43+august!K43+september!K43+'october '!K43+november!K43+december!K43</f>
        <v>15257839.85</v>
      </c>
      <c r="L43" s="12">
        <f t="shared" si="12"/>
        <v>68861.25</v>
      </c>
      <c r="M43" s="12"/>
      <c r="N43" s="12">
        <f>+january!N43+february!N43+march!N43+april!N43+may!N43+june!N43+july!N43+august!N43+september!N43+'october '!N43+november!N43+december!N43</f>
        <v>0</v>
      </c>
      <c r="O43" s="12">
        <f>+january!O43+february!O43+march!O43+april!O43+may!O43+june!O43+july!O43+august!O43+september!O43+'october '!O43+november!O43+december!O43</f>
        <v>0</v>
      </c>
      <c r="P43" s="12">
        <f t="shared" si="13"/>
        <v>0</v>
      </c>
      <c r="Q43" s="13"/>
      <c r="R43" s="12">
        <f t="shared" si="10"/>
        <v>793512933.10000002</v>
      </c>
      <c r="S43" s="12">
        <f t="shared" si="10"/>
        <v>477508179.55000001</v>
      </c>
      <c r="T43" s="14">
        <f t="shared" si="14"/>
        <v>316004753.55000001</v>
      </c>
      <c r="U43" s="17">
        <f t="shared" si="7"/>
        <v>0.60176483536888181</v>
      </c>
    </row>
    <row r="44" spans="2:23" ht="24.95" customHeight="1">
      <c r="B44" s="18"/>
      <c r="C44" s="10"/>
      <c r="D44" s="28" t="s">
        <v>45</v>
      </c>
      <c r="E44" s="22"/>
      <c r="F44" s="12">
        <f>+january!F44+february!F44+march!F44+april!F44+may!F44+june!F44+july!F44+august!F44+september!F44+'october '!F44+november!F44+december!F44</f>
        <v>425732768</v>
      </c>
      <c r="G44" s="12">
        <f>+january!G44+february!G44+march!G44+april!G44+may!G44+june!G44+july!G44+august!G44+september!G44+'october '!G44+november!G44+december!G44</f>
        <v>317278441.02999997</v>
      </c>
      <c r="H44" s="12">
        <f t="shared" si="11"/>
        <v>108454326.97000003</v>
      </c>
      <c r="I44" s="13"/>
      <c r="J44" s="12">
        <f>+january!J44+february!J44+march!J44+april!J44+may!J44+june!J44+july!J44+august!J44+september!J44+'october '!J44+november!J44+december!J44</f>
        <v>16425000</v>
      </c>
      <c r="K44" s="12">
        <f>+january!K44+february!K44+march!K44+april!K44+may!K44+june!K44+july!K44+august!K44+september!K44+'october '!K44+november!K44+december!K44</f>
        <v>16219455.07</v>
      </c>
      <c r="L44" s="12">
        <f t="shared" si="12"/>
        <v>205544.9299999997</v>
      </c>
      <c r="M44" s="12"/>
      <c r="N44" s="12">
        <f>+january!N44+february!N44+march!N44+april!N44+may!N44+june!N44+july!N44+august!N44+september!N44+'october '!N44+november!N44+december!N44</f>
        <v>7450716</v>
      </c>
      <c r="O44" s="12">
        <f>+january!O44+february!O44+march!O44+april!O44+may!O44+june!O44+july!O44+august!O44+september!O44+'october '!O44+november!O44+december!O44</f>
        <v>47099388.890000001</v>
      </c>
      <c r="P44" s="12">
        <f t="shared" si="13"/>
        <v>-39648672.890000001</v>
      </c>
      <c r="Q44" s="13"/>
      <c r="R44" s="12">
        <f t="shared" si="10"/>
        <v>449608484</v>
      </c>
      <c r="S44" s="12">
        <f t="shared" si="10"/>
        <v>380597284.98999995</v>
      </c>
      <c r="T44" s="14">
        <f t="shared" si="14"/>
        <v>69011199.01000005</v>
      </c>
      <c r="U44" s="17">
        <f t="shared" si="7"/>
        <v>0.84650823668620978</v>
      </c>
    </row>
    <row r="45" spans="2:23" ht="24.95" customHeight="1">
      <c r="B45" s="18"/>
      <c r="C45" s="10"/>
      <c r="D45" s="29" t="s">
        <v>46</v>
      </c>
      <c r="E45" s="22"/>
      <c r="F45" s="12">
        <f>+january!F45+february!F45+march!F45+april!F45+may!F45+june!F45+july!F45+august!F45+september!F45+'october '!F45+november!F45+december!F45</f>
        <v>660279000</v>
      </c>
      <c r="G45" s="12">
        <f>+january!G45+february!G45+march!G45+april!G45+may!G45+june!G45+july!G45+august!G45+september!G45+'october '!G45+november!G45+december!G45</f>
        <v>570063269.69000006</v>
      </c>
      <c r="H45" s="12">
        <f>+F45-G45</f>
        <v>90215730.309999943</v>
      </c>
      <c r="I45" s="13"/>
      <c r="J45" s="12">
        <f>+january!J45+february!J45+march!J45+april!J45+may!J45+june!J45+july!J45+august!J45+september!J45+'october '!J45+november!J45+december!J45</f>
        <v>5305000</v>
      </c>
      <c r="K45" s="12">
        <f>+january!K45+february!K45+march!K45+april!K45+may!K45+june!K45+july!K45+august!K45+september!K45+'october '!K45+november!K45+december!K45</f>
        <v>5305000</v>
      </c>
      <c r="L45" s="12">
        <f>+J45-K45</f>
        <v>0</v>
      </c>
      <c r="M45" s="12"/>
      <c r="N45" s="12">
        <f>+january!N45+february!N45+march!N45+april!N45+may!N45+june!N45+july!N45+august!N45+september!N45+'october '!N45+november!N45+december!N45</f>
        <v>8388950</v>
      </c>
      <c r="O45" s="12">
        <f>+january!O45+february!O45+march!O45+april!O45+may!O45+june!O45+july!O45+august!O45+september!O45+'october '!O45+november!O45+december!O45</f>
        <v>6575193.6699999999</v>
      </c>
      <c r="P45" s="12">
        <f>+N45-O45</f>
        <v>1813756.33</v>
      </c>
      <c r="Q45" s="13"/>
      <c r="R45" s="12">
        <f>+F45+J45+N45</f>
        <v>673972950</v>
      </c>
      <c r="S45" s="12">
        <f t="shared" si="10"/>
        <v>581943463.36000001</v>
      </c>
      <c r="T45" s="14">
        <f t="shared" si="14"/>
        <v>92029486.639999986</v>
      </c>
      <c r="U45" s="17">
        <f t="shared" si="7"/>
        <v>0.8634522548123037</v>
      </c>
      <c r="W45" s="30"/>
    </row>
    <row r="46" spans="2:23" ht="24.95" customHeight="1">
      <c r="B46" s="18"/>
      <c r="C46" s="10"/>
      <c r="D46" s="25" t="s">
        <v>47</v>
      </c>
      <c r="E46" s="22"/>
      <c r="F46" s="12">
        <f>+january!F46+february!F46+march!F46+april!F46+may!F46+june!F46+july!F46+august!F46+september!F46+'october '!F46+november!F46+december!F46</f>
        <v>382638952</v>
      </c>
      <c r="G46" s="12">
        <f>+january!G46+february!G46+march!G46+april!G46+may!G46+june!G46+july!G46+august!G46+september!G46+'october '!G46+november!G46+december!G46</f>
        <v>209557724.05000001</v>
      </c>
      <c r="H46" s="12">
        <f>+F46-G46</f>
        <v>173081227.94999999</v>
      </c>
      <c r="I46" s="13"/>
      <c r="J46" s="12">
        <f>+january!J46+february!J46+march!J46+april!J46+may!J46+june!J46+july!J46+august!J46+september!J46+'october '!J46+november!J46+december!J46</f>
        <v>2700000</v>
      </c>
      <c r="K46" s="12">
        <f>+january!K46+february!K46+march!K46+april!K46+may!K46+june!K46+july!K46+august!K46+september!K46+'october '!K46+november!K46+december!K46</f>
        <v>1740357.94</v>
      </c>
      <c r="L46" s="12">
        <f>+J46-K46</f>
        <v>959642.06</v>
      </c>
      <c r="M46" s="12"/>
      <c r="N46" s="12">
        <f>+january!N46+february!N46+march!N46+april!N46+may!N46+june!N46+july!N46+august!N46+september!N46+'october '!N46+november!N46+december!N46</f>
        <v>2428613</v>
      </c>
      <c r="O46" s="12">
        <f>+january!O46+february!O46+march!O46+april!O46+may!O46+june!O46+july!O46+august!O46+september!O46+'october '!O46+november!O46+december!O46</f>
        <v>2214301.06</v>
      </c>
      <c r="P46" s="12">
        <f>+N46-O46</f>
        <v>214311.93999999994</v>
      </c>
      <c r="Q46" s="13"/>
      <c r="R46" s="12">
        <f>+F46+J46+N46</f>
        <v>387767565</v>
      </c>
      <c r="S46" s="12">
        <f t="shared" si="10"/>
        <v>213512383.05000001</v>
      </c>
      <c r="T46" s="14">
        <f t="shared" si="14"/>
        <v>174255181.94999999</v>
      </c>
      <c r="U46" s="17">
        <f t="shared" si="7"/>
        <v>0.55061950075685162</v>
      </c>
    </row>
    <row r="47" spans="2:23" ht="27.75" customHeight="1">
      <c r="B47" s="18"/>
      <c r="C47" s="10"/>
      <c r="D47" s="10"/>
      <c r="E47" s="22"/>
      <c r="F47" s="12">
        <f>+january!F47+february!F47+march!F47+april!F47+may!F47+june!F47+july!F47+august!F47+september!F47+'october '!F47+november!F47+december!F47</f>
        <v>0</v>
      </c>
      <c r="G47" s="12">
        <f>+january!G47+february!G47+march!G47+april!G47+may!G47+june!G47+july!G47+august!G47+september!G47+'october '!G47+november!G47+december!G47</f>
        <v>0</v>
      </c>
      <c r="H47" s="12"/>
      <c r="I47" s="13"/>
      <c r="J47" s="12">
        <f>+january!J47+february!J47+march!J47+april!J47+may!J47+june!J47+july!J47+august!J47+september!J47+'october '!J47+november!J47+december!J47</f>
        <v>0</v>
      </c>
      <c r="K47" s="12">
        <f>+january!K47+february!K47+march!K47+april!K47+may!K47+june!K47+july!K47+august!K47+september!K47+'october '!K47+november!K47+december!K47</f>
        <v>0</v>
      </c>
      <c r="L47" s="12"/>
      <c r="M47" s="12"/>
      <c r="N47" s="12">
        <f>+january!N47+february!N47+march!N47+april!N47+may!N47+june!N47+july!N47+august!N47+september!N47+'october '!N47+november!N47+december!N47</f>
        <v>0</v>
      </c>
      <c r="O47" s="12">
        <f>+january!O47+february!O47+march!O47+april!O47+may!O47+june!O47+july!O47+august!O47+september!O47+'october '!O47+november!O47+december!O47</f>
        <v>0</v>
      </c>
      <c r="P47" s="12"/>
      <c r="Q47" s="13"/>
      <c r="R47" s="12"/>
      <c r="S47" s="12"/>
      <c r="T47" s="14"/>
      <c r="U47" s="17"/>
    </row>
    <row r="48" spans="2:23" ht="24.95" customHeight="1">
      <c r="B48" s="18"/>
      <c r="C48" s="24" t="s">
        <v>48</v>
      </c>
      <c r="D48" s="10"/>
      <c r="E48" s="22"/>
      <c r="F48" s="12">
        <f>+january!F48+february!F48+march!F48+april!F48+may!F48+june!F48+july!F48+august!F48+september!F48+'october '!F48+november!F48+december!F48</f>
        <v>0</v>
      </c>
      <c r="G48" s="12">
        <f>+january!G48+february!G48+march!G48+april!G48+may!G48+june!G48+july!G48+august!G48+september!G48+'october '!G48+november!G48+december!G48</f>
        <v>0</v>
      </c>
      <c r="H48" s="12"/>
      <c r="I48" s="13"/>
      <c r="J48" s="12">
        <f>+january!J48+february!J48+march!J48+april!J48+may!J48+june!J48+july!J48+august!J48+september!J48+'october '!J48+november!J48+december!J48</f>
        <v>0</v>
      </c>
      <c r="K48" s="12">
        <f>+january!K48+february!K48+march!K48+april!K48+may!K48+june!K48+july!K48+august!K48+september!K48+'october '!K48+november!K48+december!K48</f>
        <v>0</v>
      </c>
      <c r="L48" s="12"/>
      <c r="M48" s="12"/>
      <c r="N48" s="12">
        <f>+january!N48+february!N48+march!N48+april!N48+may!N48+june!N48+july!N48+august!N48+september!N48+'october '!N48+november!N48+december!N48</f>
        <v>0</v>
      </c>
      <c r="O48" s="12">
        <f>+january!O48+february!O48+march!O48+april!O48+may!O48+june!O48+july!O48+august!O48+september!O48+'october '!O48+november!O48+december!O48</f>
        <v>0</v>
      </c>
      <c r="P48" s="12"/>
      <c r="Q48" s="13"/>
      <c r="R48" s="12"/>
      <c r="S48" s="12"/>
      <c r="T48" s="14"/>
      <c r="U48" s="17"/>
    </row>
    <row r="49" spans="2:21" ht="24.95" customHeight="1">
      <c r="B49" s="18"/>
      <c r="C49" s="10"/>
      <c r="D49" s="10"/>
      <c r="E49" s="10" t="s">
        <v>49</v>
      </c>
      <c r="F49" s="12">
        <f>+january!F49+february!F49+march!F49+april!F49+may!F49+june!F49+july!F49+august!F49+september!F49+'october '!F49+november!F49+december!F49</f>
        <v>183654000</v>
      </c>
      <c r="G49" s="12">
        <f>+january!G49+february!G49+march!G49+april!G49+may!G49+june!G49+july!G49+august!G49+september!G49+'october '!G49+november!G49+december!G49</f>
        <v>160998868.30000001</v>
      </c>
      <c r="H49" s="12">
        <f>+F49-G49</f>
        <v>22655131.699999988</v>
      </c>
      <c r="I49" s="13"/>
      <c r="J49" s="12">
        <f>+january!J49+february!J49+march!J49+april!J49+may!J49+june!J49+july!J49+august!J49+september!J49+'october '!J49+november!J49+december!J49</f>
        <v>4230000</v>
      </c>
      <c r="K49" s="12">
        <f>+january!K49+february!K49+march!K49+april!K49+may!K49+june!K49+july!K49+august!K49+september!K49+'october '!K49+november!K49+december!K49</f>
        <v>4230000</v>
      </c>
      <c r="L49" s="12">
        <f>+J49-K49</f>
        <v>0</v>
      </c>
      <c r="M49" s="12"/>
      <c r="N49" s="12">
        <f>+january!N49+february!N49+march!N49+april!N49+may!N49+june!N49+july!N49+august!N49+september!N49+'october '!N49+november!N49+december!N49</f>
        <v>0</v>
      </c>
      <c r="O49" s="12">
        <f>+january!O49+february!O49+march!O49+april!O49+may!O49+june!O49+july!O49+august!O49+september!O49+'october '!O49+november!O49+december!O49</f>
        <v>0</v>
      </c>
      <c r="P49" s="12">
        <f>+N49-O49</f>
        <v>0</v>
      </c>
      <c r="Q49" s="13"/>
      <c r="R49" s="12">
        <f>+F49+J49+N49</f>
        <v>187884000</v>
      </c>
      <c r="S49" s="12">
        <f>+G49+K49+O49</f>
        <v>165228868.30000001</v>
      </c>
      <c r="T49" s="14">
        <f>+R49-S49</f>
        <v>22655131.699999988</v>
      </c>
      <c r="U49" s="17">
        <f t="shared" si="7"/>
        <v>0.87941957963424244</v>
      </c>
    </row>
    <row r="50" spans="2:21" ht="24.95" customHeight="1">
      <c r="B50" s="18"/>
      <c r="C50" s="10"/>
      <c r="D50" s="10"/>
      <c r="E50" s="10" t="s">
        <v>50</v>
      </c>
      <c r="F50" s="12">
        <f>+january!F50+february!F50+march!F50+april!F50+may!F50+june!F50+july!F50+august!F50+september!F50+'october '!F50+november!F50+december!F50</f>
        <v>417356700</v>
      </c>
      <c r="G50" s="12">
        <f>+january!G50+february!G50+march!G50+april!G50+may!G50+june!G50+july!G50+august!G50+september!G50+'october '!G50+november!G50+december!G50</f>
        <v>313137304.77000004</v>
      </c>
      <c r="H50" s="12">
        <f>+F50-G50</f>
        <v>104219395.22999996</v>
      </c>
      <c r="I50" s="13"/>
      <c r="J50" s="12">
        <f>+january!J50+february!J50+march!J50+april!J50+may!J50+june!J50+july!J50+august!J50+september!J50+'october '!J50+november!J50+december!J50</f>
        <v>2325000</v>
      </c>
      <c r="K50" s="12">
        <f>+january!K50+february!K50+march!K50+april!K50+may!K50+june!K50+july!K50+august!K50+september!K50+'october '!K50+november!K50+december!K50</f>
        <v>2240000</v>
      </c>
      <c r="L50" s="12">
        <f>+J50-K50</f>
        <v>85000</v>
      </c>
      <c r="M50" s="12"/>
      <c r="N50" s="12">
        <f>+january!N50+february!N50+march!N50+april!N50+may!N50+june!N50+july!N50+august!N50+september!N50+'october '!N50+november!N50+december!N50</f>
        <v>1958244</v>
      </c>
      <c r="O50" s="12">
        <f>+january!O50+february!O50+march!O50+april!O50+may!O50+june!O50+july!O50+august!O50+september!O50+'october '!O50+november!O50+december!O50</f>
        <v>1402171.71</v>
      </c>
      <c r="P50" s="12">
        <f>+N50-O50</f>
        <v>556072.29</v>
      </c>
      <c r="Q50" s="13"/>
      <c r="R50" s="12">
        <f>+F50+J50+N50</f>
        <v>421639944</v>
      </c>
      <c r="S50" s="12">
        <f>+G50+K50+O50</f>
        <v>316779476.48000002</v>
      </c>
      <c r="T50" s="14">
        <f>+R50-S50</f>
        <v>104860467.51999998</v>
      </c>
      <c r="U50" s="17">
        <f t="shared" si="7"/>
        <v>0.75130328847591354</v>
      </c>
    </row>
    <row r="51" spans="2:21" ht="27.75" customHeight="1">
      <c r="B51" s="18"/>
      <c r="C51" s="10"/>
      <c r="D51" s="10"/>
      <c r="E51" s="31" t="s">
        <v>51</v>
      </c>
      <c r="F51" s="32">
        <f t="shared" ref="F51:G51" si="15">SUM(F13:F48)</f>
        <v>12563961524.878571</v>
      </c>
      <c r="G51" s="32">
        <f t="shared" si="15"/>
        <v>10085336710.417946</v>
      </c>
      <c r="H51" s="32">
        <f t="shared" ref="H51:T51" si="16">SUM(H13:H48)</f>
        <v>2478624814.4606252</v>
      </c>
      <c r="I51" s="32">
        <f t="shared" si="16"/>
        <v>2208000</v>
      </c>
      <c r="J51" s="32">
        <f t="shared" ref="J51:K51" si="17">SUM(J13:J48)</f>
        <v>885744032.84000003</v>
      </c>
      <c r="K51" s="32">
        <f t="shared" si="17"/>
        <v>810397016.45000017</v>
      </c>
      <c r="L51" s="32">
        <f>SUM(L13:L48)</f>
        <v>75347016.390000045</v>
      </c>
      <c r="M51" s="32">
        <f t="shared" si="16"/>
        <v>0</v>
      </c>
      <c r="N51" s="32">
        <f t="shared" ref="N51:O51" si="18">SUM(N13:N48)</f>
        <v>838521757.57000005</v>
      </c>
      <c r="O51" s="32">
        <f t="shared" si="18"/>
        <v>679714540.08000016</v>
      </c>
      <c r="P51" s="32">
        <f>SUM(P13:P48)</f>
        <v>158807217.4900001</v>
      </c>
      <c r="Q51" s="32">
        <f t="shared" si="16"/>
        <v>0</v>
      </c>
      <c r="R51" s="32">
        <f t="shared" si="16"/>
        <v>14288227315.28857</v>
      </c>
      <c r="S51" s="32">
        <f t="shared" si="16"/>
        <v>11575448266.947945</v>
      </c>
      <c r="T51" s="32">
        <f t="shared" si="16"/>
        <v>2712779048.3406253</v>
      </c>
      <c r="U51" s="17">
        <f t="shared" si="7"/>
        <v>0.81013886548137992</v>
      </c>
    </row>
    <row r="52" spans="2:21" ht="27.75" customHeight="1">
      <c r="B52" s="18"/>
      <c r="C52" s="10"/>
      <c r="D52" s="10"/>
      <c r="E52" s="31"/>
      <c r="F52" s="12">
        <f>+january!F52+february!F52+march!F52+april!F52+may!F52</f>
        <v>0</v>
      </c>
      <c r="G52" s="12">
        <f>+january!G52+february!G52+march!G52+april!G52+may!G52</f>
        <v>0</v>
      </c>
      <c r="H52" s="32"/>
      <c r="I52" s="33"/>
      <c r="J52" s="12">
        <f>+january!J52+february!J52+march!J52+april!J52+may!J52</f>
        <v>0</v>
      </c>
      <c r="K52" s="12">
        <f>+january!K52+february!K52+march!K52+april!K52+may!K52</f>
        <v>0</v>
      </c>
      <c r="L52" s="32"/>
      <c r="M52" s="32"/>
      <c r="N52" s="12">
        <f>+january!N52+february!N52+march!N52+april!N52+may!N52</f>
        <v>0</v>
      </c>
      <c r="O52" s="12">
        <f>+january!O52+february!O52+march!O52+april!O52+may!O52</f>
        <v>0</v>
      </c>
      <c r="P52" s="32"/>
      <c r="Q52" s="33"/>
      <c r="R52" s="32"/>
      <c r="S52" s="32"/>
      <c r="T52" s="34"/>
      <c r="U52" s="17"/>
    </row>
    <row r="53" spans="2:21" ht="24.95" customHeight="1">
      <c r="B53" s="18"/>
      <c r="C53" s="24" t="s">
        <v>52</v>
      </c>
      <c r="D53" s="10"/>
      <c r="E53" s="22"/>
      <c r="F53" s="12">
        <f t="shared" ref="F53:G53" si="19">SUM(F55:F80)</f>
        <v>5770963780.5299997</v>
      </c>
      <c r="G53" s="12">
        <f t="shared" si="19"/>
        <v>4715303063.8599987</v>
      </c>
      <c r="H53" s="12">
        <f t="shared" ref="H53:T53" si="20">SUM(H55:H80)</f>
        <v>1055660716.6700001</v>
      </c>
      <c r="I53" s="12">
        <f t="shared" si="20"/>
        <v>0</v>
      </c>
      <c r="J53" s="12">
        <f t="shared" ref="J53:K53" si="21">SUM(J55:J80)</f>
        <v>746716835.18999994</v>
      </c>
      <c r="K53" s="12">
        <f t="shared" si="21"/>
        <v>739912297.74000001</v>
      </c>
      <c r="L53" s="12">
        <f>SUM(L55:L80)</f>
        <v>6804537.4500000635</v>
      </c>
      <c r="M53" s="12">
        <f t="shared" si="20"/>
        <v>0</v>
      </c>
      <c r="N53" s="12">
        <f t="shared" ref="N53:O53" si="22">SUM(N55:N80)</f>
        <v>350445147.38</v>
      </c>
      <c r="O53" s="12">
        <f t="shared" si="22"/>
        <v>255025539.75</v>
      </c>
      <c r="P53" s="12">
        <f>SUM(P55:P80)</f>
        <v>95419607.629999995</v>
      </c>
      <c r="Q53" s="12">
        <f t="shared" si="20"/>
        <v>0</v>
      </c>
      <c r="R53" s="12">
        <f t="shared" si="20"/>
        <v>6868125763.1000004</v>
      </c>
      <c r="S53" s="12">
        <f t="shared" si="20"/>
        <v>5710240901.3499994</v>
      </c>
      <c r="T53" s="14">
        <f t="shared" si="20"/>
        <v>1157884861.75</v>
      </c>
      <c r="U53" s="17">
        <f>+S53/R53</f>
        <v>0.83141181427240241</v>
      </c>
    </row>
    <row r="54" spans="2:21" ht="24.95" customHeight="1">
      <c r="B54" s="18"/>
      <c r="C54" s="20" t="s">
        <v>53</v>
      </c>
      <c r="D54" s="20"/>
      <c r="E54" s="10"/>
      <c r="F54" s="12"/>
      <c r="G54" s="12"/>
      <c r="H54" s="12">
        <f t="shared" ref="H54:H59" si="23">+F54-G54</f>
        <v>0</v>
      </c>
      <c r="I54" s="13"/>
      <c r="J54" s="12"/>
      <c r="K54" s="12"/>
      <c r="L54" s="12">
        <f t="shared" ref="L54:L59" si="24">+J54-K54</f>
        <v>0</v>
      </c>
      <c r="M54" s="12"/>
      <c r="N54" s="12"/>
      <c r="O54" s="12"/>
      <c r="P54" s="12">
        <f t="shared" ref="P54:P59" si="25">+N54-O54</f>
        <v>0</v>
      </c>
      <c r="Q54" s="13"/>
      <c r="R54" s="12"/>
      <c r="S54" s="12"/>
      <c r="T54" s="14"/>
      <c r="U54" s="17"/>
    </row>
    <row r="55" spans="2:21" ht="24.95" customHeight="1">
      <c r="B55" s="18"/>
      <c r="C55" s="20"/>
      <c r="D55" s="20"/>
      <c r="E55" s="10" t="s">
        <v>54</v>
      </c>
      <c r="F55" s="12">
        <f>+january!F55+february!F55+march!F55+april!F55+may!F55+june!F55+july!F55+august!F55+september!F55+'october '!F55+november!F55+december!F55</f>
        <v>515627000</v>
      </c>
      <c r="G55" s="12">
        <f>+january!G55+february!G55+march!G55+april!G55+may!G55+june!G55+july!G55+august!G55+september!G55+'october '!G55+november!G55+december!G55</f>
        <v>374963221.31999999</v>
      </c>
      <c r="H55" s="12">
        <f t="shared" si="23"/>
        <v>140663778.68000001</v>
      </c>
      <c r="I55" s="13"/>
      <c r="J55" s="12">
        <f>+january!J55+february!J55+march!J55+april!J55+may!J55+june!J55+july!J55+august!J55+september!J55+'october '!J55+november!J55+december!J55</f>
        <v>57094244.399999999</v>
      </c>
      <c r="K55" s="12">
        <f>+january!K55+february!K55+march!K55+april!K55+may!K55+june!K55+july!K55+august!K55+september!K55+'october '!K55+november!K55+december!K55</f>
        <v>57094244.400000006</v>
      </c>
      <c r="L55" s="12">
        <f t="shared" si="24"/>
        <v>0</v>
      </c>
      <c r="M55" s="12"/>
      <c r="N55" s="12">
        <f>+january!N55+february!N55+march!N55+april!N55+may!N55+june!N55+july!N55+august!N55+september!N55+'october '!N55+november!N55+december!N55</f>
        <v>0</v>
      </c>
      <c r="O55" s="12">
        <f>+january!O55+february!O55+march!O55+april!O55+may!O55+june!O55+july!O55+august!O55+september!O55+'october '!O55+november!O55+december!O55</f>
        <v>0</v>
      </c>
      <c r="P55" s="12">
        <f t="shared" si="25"/>
        <v>0</v>
      </c>
      <c r="Q55" s="13"/>
      <c r="R55" s="12">
        <f>+F55+J55+N55</f>
        <v>572721244.39999998</v>
      </c>
      <c r="S55" s="12">
        <f t="shared" ref="R55:S59" si="26">+G55+K55+O55</f>
        <v>432057465.72000003</v>
      </c>
      <c r="T55" s="14">
        <f>+R55-S55</f>
        <v>140663778.67999995</v>
      </c>
      <c r="U55" s="17">
        <f t="shared" si="7"/>
        <v>0.75439399174486088</v>
      </c>
    </row>
    <row r="56" spans="2:21" ht="30" customHeight="1">
      <c r="B56" s="18"/>
      <c r="C56" s="10"/>
      <c r="D56" s="10"/>
      <c r="E56" s="21" t="s">
        <v>55</v>
      </c>
      <c r="F56" s="12">
        <f>+january!F56+february!F56+march!F56+april!F56+may!F56+june!F56+july!F56+august!F56+september!F56+'october '!F56+november!F56+december!F56</f>
        <v>464623553</v>
      </c>
      <c r="G56" s="12">
        <f>+january!G56+february!G56+march!G56+april!G56+may!G56+june!G56+july!G56+august!G56+september!G56+'october '!G56+november!G56+december!G56</f>
        <v>454701472.62</v>
      </c>
      <c r="H56" s="12">
        <f t="shared" si="23"/>
        <v>9922080.3799999952</v>
      </c>
      <c r="I56" s="13"/>
      <c r="J56" s="12">
        <f>+january!J56+february!J56+march!J56+april!J56+may!J56+june!J56+july!J56+august!J56+september!J56+'october '!J56+november!J56+december!J56</f>
        <v>28595215</v>
      </c>
      <c r="K56" s="12">
        <f>+january!K56+february!K56+march!K56+april!K56+may!K56+june!K56+july!K56+august!K56+september!K56+'october '!K56+november!K56+december!K56</f>
        <v>28591756.82</v>
      </c>
      <c r="L56" s="12">
        <f t="shared" si="24"/>
        <v>3458.179999999702</v>
      </c>
      <c r="M56" s="38"/>
      <c r="N56" s="12">
        <f>+january!N56+february!N56+march!N56+april!N56+may!N56+june!N56+july!N56+august!N56+september!N56+'october '!N56+november!N56+december!N56</f>
        <v>11104117</v>
      </c>
      <c r="O56" s="12">
        <f>+january!O56+february!O56+march!O56+april!O56+may!O56+june!O56+july!O56+august!O56+september!O56+'october '!O56+november!O56+december!O56</f>
        <v>10405752</v>
      </c>
      <c r="P56" s="12">
        <f t="shared" si="25"/>
        <v>698365</v>
      </c>
      <c r="Q56" s="39"/>
      <c r="R56" s="38">
        <f t="shared" si="26"/>
        <v>504322885</v>
      </c>
      <c r="S56" s="38">
        <f t="shared" si="26"/>
        <v>493698981.44</v>
      </c>
      <c r="T56" s="40">
        <f>+R56-S56</f>
        <v>10623903.560000002</v>
      </c>
      <c r="U56" s="17">
        <f t="shared" si="7"/>
        <v>0.97893432188785168</v>
      </c>
    </row>
    <row r="57" spans="2:21" ht="30" customHeight="1">
      <c r="B57" s="18"/>
      <c r="C57" s="10"/>
      <c r="D57" s="10"/>
      <c r="E57" s="21" t="s">
        <v>56</v>
      </c>
      <c r="F57" s="12">
        <f>+january!F57+february!F57+march!F57+april!F57+may!F57+june!F57+july!F57+august!F57+september!F57+'october '!F57+november!F57+december!F57</f>
        <v>207695095</v>
      </c>
      <c r="G57" s="12">
        <f>+january!G57+february!G57+march!G57+april!G57+may!G57+june!G57+july!G57+august!G57+september!G57+'october '!G57+november!G57+december!G57</f>
        <v>83743212.439999998</v>
      </c>
      <c r="H57" s="12">
        <f t="shared" si="23"/>
        <v>123951882.56</v>
      </c>
      <c r="I57" s="13"/>
      <c r="J57" s="12">
        <f>+january!J57+february!J57+march!J57+april!J57+may!J57+june!J57+july!J57+august!J57+september!J57+'october '!J57+november!J57+december!J57</f>
        <v>4055000</v>
      </c>
      <c r="K57" s="12">
        <f>+january!K57+february!K57+march!K57+april!K57+may!K57+june!K57+july!K57+august!K57+september!K57+'october '!K57+november!K57+december!K57</f>
        <v>3923992.2</v>
      </c>
      <c r="L57" s="12">
        <f t="shared" si="24"/>
        <v>131007.79999999981</v>
      </c>
      <c r="M57" s="12"/>
      <c r="N57" s="12">
        <f>+january!N57+february!N57+march!N57+april!N57+may!N57+june!N57+july!N57+august!N57+september!N57+'october '!N57+november!N57+december!N57</f>
        <v>6010059.2699999996</v>
      </c>
      <c r="O57" s="12">
        <f>+january!O57+february!O57+march!O57+april!O57+may!O57+june!O57+july!O57+august!O57+september!O57+'october '!O57+november!O57+december!O57</f>
        <v>5172940.2699999996</v>
      </c>
      <c r="P57" s="12">
        <f t="shared" si="25"/>
        <v>837119</v>
      </c>
      <c r="Q57" s="13"/>
      <c r="R57" s="12">
        <f t="shared" si="26"/>
        <v>217760154.27000001</v>
      </c>
      <c r="S57" s="12">
        <f t="shared" si="26"/>
        <v>92840144.909999996</v>
      </c>
      <c r="T57" s="14">
        <f>+R57-S57</f>
        <v>124920009.36000001</v>
      </c>
      <c r="U57" s="17">
        <f t="shared" si="7"/>
        <v>0.42634128920981496</v>
      </c>
    </row>
    <row r="58" spans="2:21" ht="24.95" customHeight="1">
      <c r="B58" s="18"/>
      <c r="C58" s="10"/>
      <c r="D58" s="10"/>
      <c r="E58" s="28" t="s">
        <v>57</v>
      </c>
      <c r="F58" s="12">
        <f>+january!F58+february!F58+march!F58+april!F58+may!F58+june!F58+july!F58+august!F58+september!F58+'october '!F58+november!F58+december!F58</f>
        <v>24832000</v>
      </c>
      <c r="G58" s="12">
        <f>+january!G58+february!G58+march!G58+april!G58+may!G58+june!G58+july!G58+august!G58+september!G58+'october '!G58+november!G58+december!G58</f>
        <v>21938063.829999998</v>
      </c>
      <c r="H58" s="12">
        <f t="shared" si="23"/>
        <v>2893936.1700000018</v>
      </c>
      <c r="I58" s="13"/>
      <c r="J58" s="12">
        <f>+january!J58+february!J58+march!J58+april!J58+may!J58+june!J58+july!J58+august!J58+september!J58+'october '!J58+november!J58+december!J58</f>
        <v>863500</v>
      </c>
      <c r="K58" s="12">
        <f>+january!K58+february!K58+march!K58+april!K58+may!K58+june!K58+july!K58+august!K58+september!K58+'october '!K58+november!K58+december!K58</f>
        <v>840068.67999999993</v>
      </c>
      <c r="L58" s="12">
        <f t="shared" si="24"/>
        <v>23431.320000000065</v>
      </c>
      <c r="M58" s="12"/>
      <c r="N58" s="12">
        <f>+january!N58+february!N58+march!N58+april!N58+may!N58+june!N58+july!N58+august!N58+september!N58+'october '!N58+november!N58+december!N58</f>
        <v>42989000</v>
      </c>
      <c r="O58" s="12">
        <f>+january!O58+february!O58+march!O58+april!O58+may!O58+june!O58+july!O58+august!O58+september!O58+'october '!O58+november!O58+december!O58</f>
        <v>17379205.240000002</v>
      </c>
      <c r="P58" s="12">
        <f t="shared" si="25"/>
        <v>25609794.759999998</v>
      </c>
      <c r="Q58" s="13"/>
      <c r="R58" s="12">
        <f t="shared" si="26"/>
        <v>68684500</v>
      </c>
      <c r="S58" s="12">
        <f t="shared" si="26"/>
        <v>40157337.75</v>
      </c>
      <c r="T58" s="14">
        <f>+R58-S58</f>
        <v>28527162.25</v>
      </c>
      <c r="U58" s="17">
        <f t="shared" si="7"/>
        <v>0.58466375601482135</v>
      </c>
    </row>
    <row r="59" spans="2:21" ht="29.25" customHeight="1">
      <c r="B59" s="18"/>
      <c r="C59" s="10"/>
      <c r="D59" s="10"/>
      <c r="E59" s="21" t="s">
        <v>58</v>
      </c>
      <c r="F59" s="12">
        <f>+january!F59+february!F59+march!F59+april!F59+may!F59+june!F59+july!F59+august!F59+september!F59+'october '!F59+november!F59+december!F59</f>
        <v>70159500</v>
      </c>
      <c r="G59" s="12">
        <f>+january!G59+february!G59+march!G59+april!G59+may!G59+june!G59+july!G59+august!G59+september!G59+'october '!G59+november!G59+december!G59</f>
        <v>42832402.570000008</v>
      </c>
      <c r="H59" s="12">
        <f t="shared" si="23"/>
        <v>27327097.429999992</v>
      </c>
      <c r="I59" s="13"/>
      <c r="J59" s="12">
        <f>+january!J59+february!J59+march!J59+april!J59+may!J59+june!J59+july!J59+august!J59+september!J59+'october '!J59+november!J59+december!J59</f>
        <v>3550116</v>
      </c>
      <c r="K59" s="12">
        <f>+january!K59+february!K59+march!K59+april!K59+may!K59+june!K59+july!K59+august!K59+september!K59+'october '!K59+november!K59+december!K59</f>
        <v>3550116</v>
      </c>
      <c r="L59" s="12">
        <f t="shared" si="24"/>
        <v>0</v>
      </c>
      <c r="M59" s="12"/>
      <c r="N59" s="12">
        <f>+january!N59+february!N59+march!N59+april!N59+may!N59+june!N59+july!N59+august!N59+september!N59+'october '!N59+november!N59+december!N59</f>
        <v>0</v>
      </c>
      <c r="O59" s="12">
        <f>+january!O59+february!O59+march!O59+april!O59+may!O59+june!O59+july!O59+august!O59+september!O59+'october '!O59+november!O59+december!O59</f>
        <v>0</v>
      </c>
      <c r="P59" s="12">
        <f t="shared" si="25"/>
        <v>0</v>
      </c>
      <c r="Q59" s="13"/>
      <c r="R59" s="12">
        <f t="shared" si="26"/>
        <v>73709616</v>
      </c>
      <c r="S59" s="12">
        <f t="shared" si="26"/>
        <v>46382518.570000008</v>
      </c>
      <c r="T59" s="14">
        <f>+R59-S59</f>
        <v>27327097.429999992</v>
      </c>
      <c r="U59" s="17">
        <f t="shared" si="7"/>
        <v>0.62926007605303502</v>
      </c>
    </row>
    <row r="60" spans="2:21" ht="24.95" customHeight="1">
      <c r="B60" s="18"/>
      <c r="C60" s="10"/>
      <c r="D60" s="10"/>
      <c r="E60" s="21"/>
      <c r="F60" s="12">
        <f>+january!F60+february!F60+march!F60+april!F60+may!F60+june!F60+july!F60+august!F60+september!F60+'october '!F60+november!F60+december!F60</f>
        <v>0</v>
      </c>
      <c r="G60" s="12">
        <f>+january!G60+february!G60+march!G60+april!G60+may!G60+june!G60+july!G60+august!G60+september!G60+'october '!G60+november!G60+december!G60</f>
        <v>0</v>
      </c>
      <c r="H60" s="12"/>
      <c r="I60" s="13"/>
      <c r="J60" s="12">
        <f>+january!J60+february!J60+march!J60+april!J60+may!J60+june!J60+july!J60+august!J60+september!J60+'october '!J60+november!J60+december!J60</f>
        <v>0</v>
      </c>
      <c r="K60" s="12">
        <f>+january!K60+february!K60+march!K60+april!K60+may!K60+june!K60+july!K60+august!K60+september!K60+'october '!K60+november!K60+december!K60</f>
        <v>0</v>
      </c>
      <c r="L60" s="12"/>
      <c r="M60" s="12"/>
      <c r="N60" s="12">
        <f>+january!N60+february!N60+march!N60+april!N60+may!N60+june!N60+july!N60+august!N60+september!N60+'october '!N60+november!N60+december!N60</f>
        <v>0</v>
      </c>
      <c r="O60" s="12">
        <f>+january!O60+february!O60+march!O60+april!O60+may!O60+june!O60+july!O60+august!O60+september!O60+'october '!O60+november!O60+december!O60</f>
        <v>0</v>
      </c>
      <c r="P60" s="12"/>
      <c r="Q60" s="13"/>
      <c r="R60" s="12"/>
      <c r="S60" s="12"/>
      <c r="T60" s="14"/>
      <c r="U60" s="17"/>
    </row>
    <row r="61" spans="2:21" ht="24.95" customHeight="1">
      <c r="B61" s="18"/>
      <c r="C61" s="20" t="s">
        <v>59</v>
      </c>
      <c r="D61" s="20"/>
      <c r="E61" s="10"/>
      <c r="F61" s="12">
        <f>+january!F61+february!F61+march!F61+april!F61+may!F61+june!F61+july!F61+august!F61+september!F61+'october '!F61+november!F61+december!F61</f>
        <v>0</v>
      </c>
      <c r="G61" s="12">
        <f>+january!G61+february!G61+march!G61+april!G61+may!G61+june!G61+july!G61+august!G61+september!G61+'october '!G61+november!G61+december!G61</f>
        <v>0</v>
      </c>
      <c r="H61" s="12"/>
      <c r="I61" s="13"/>
      <c r="J61" s="12">
        <f>+january!J61+february!J61+march!J61+april!J61+may!J61+june!J61+july!J61+august!J61+september!J61+'october '!J61+november!J61+december!J61</f>
        <v>0</v>
      </c>
      <c r="K61" s="12">
        <f>+january!K61+february!K61+march!K61+april!K61+may!K61+june!K61+july!K61+august!K61+september!K61+'october '!K61+november!K61+december!K61</f>
        <v>0</v>
      </c>
      <c r="L61" s="12"/>
      <c r="M61" s="12"/>
      <c r="N61" s="12">
        <f>+january!N61+february!N61+march!N61+april!N61+may!N61+june!N61+july!N61+august!N61+september!N61+'october '!N61+november!N61+december!N61</f>
        <v>0</v>
      </c>
      <c r="O61" s="12">
        <f>+january!O61+february!O61+march!O61+april!O61+may!O61+june!O61+july!O61+august!O61+september!O61+'october '!O61+november!O61+december!O61</f>
        <v>0</v>
      </c>
      <c r="P61" s="12"/>
      <c r="Q61" s="13"/>
      <c r="R61" s="12"/>
      <c r="S61" s="12"/>
      <c r="T61" s="14"/>
      <c r="U61" s="17"/>
    </row>
    <row r="62" spans="2:21" ht="24.95" customHeight="1">
      <c r="B62" s="18"/>
      <c r="C62" s="20"/>
      <c r="D62" s="20"/>
      <c r="E62" s="10" t="s">
        <v>60</v>
      </c>
      <c r="F62" s="12">
        <f>+january!F62+february!F62+march!F62+april!F62+may!F62+june!F62+july!F62+august!F62+september!F62+'october '!F62+november!F62+december!F62</f>
        <v>424698173</v>
      </c>
      <c r="G62" s="12">
        <f>+january!G62+february!G62+march!G62+april!G62+may!G62+june!G62+july!G62+august!G62+september!G62+'october '!G62+november!G62+december!G62</f>
        <v>418538476.62</v>
      </c>
      <c r="H62" s="12">
        <f>+F62-G62</f>
        <v>6159696.3799999952</v>
      </c>
      <c r="I62" s="13"/>
      <c r="J62" s="12">
        <f>+january!J62+february!J62+march!J62+april!J62+may!J62+june!J62+july!J62+august!J62+september!J62+'october '!J62+november!J62+december!J62</f>
        <v>190507630</v>
      </c>
      <c r="K62" s="12">
        <f>+january!K62+february!K62+march!K62+april!K62+may!K62+june!K62+july!K62+august!K62+september!K62+'october '!K62+november!K62+december!K62</f>
        <v>190492587.38999999</v>
      </c>
      <c r="L62" s="12">
        <f>+J62-K62</f>
        <v>15042.610000014305</v>
      </c>
      <c r="M62" s="12"/>
      <c r="N62" s="12">
        <f>+january!N62+february!N62+march!N62+april!N62+may!N62+june!N62+july!N62+august!N62+september!N62+'october '!N62+november!N62+december!N62</f>
        <v>5435588</v>
      </c>
      <c r="O62" s="12">
        <f>+january!O62+february!O62+march!O62+april!O62+may!O62+june!O62+july!O62+august!O62+september!O62+'october '!O62+november!O62+december!O62</f>
        <v>5435584.0100000007</v>
      </c>
      <c r="P62" s="12">
        <f>+N62-O62</f>
        <v>3.9899999992921948</v>
      </c>
      <c r="Q62" s="13"/>
      <c r="R62" s="12">
        <f t="shared" ref="R62:S65" si="27">+F62+J62+N62</f>
        <v>620641391</v>
      </c>
      <c r="S62" s="12">
        <f t="shared" si="27"/>
        <v>614466648.01999998</v>
      </c>
      <c r="T62" s="14">
        <f>+R62-S62</f>
        <v>6174742.9800000191</v>
      </c>
      <c r="U62" s="17">
        <f t="shared" si="7"/>
        <v>0.99005102935521094</v>
      </c>
    </row>
    <row r="63" spans="2:21" ht="30" customHeight="1">
      <c r="B63" s="18"/>
      <c r="C63" s="10"/>
      <c r="D63" s="10"/>
      <c r="E63" s="21" t="s">
        <v>61</v>
      </c>
      <c r="F63" s="12">
        <f>+january!F63+february!F63+march!F63+april!F63+may!F63+june!F63+july!F63+august!F63+september!F63+'october '!F63+november!F63+december!F63</f>
        <v>219527839.53</v>
      </c>
      <c r="G63" s="12">
        <f>+january!G63+february!G63+march!G63+april!G63+may!G63+june!G63+july!G63+august!G63+september!G63+'october '!G63+november!G63+december!G63</f>
        <v>214112578.55000001</v>
      </c>
      <c r="H63" s="12">
        <f>+F63-G63</f>
        <v>5415260.9799999893</v>
      </c>
      <c r="I63" s="13"/>
      <c r="J63" s="12">
        <f>+january!J63+february!J63+march!J63+april!J63+may!J63+june!J63+july!J63+august!J63+september!J63+'october '!J63+november!J63+december!J63</f>
        <v>14705000</v>
      </c>
      <c r="K63" s="12">
        <f>+january!K63+february!K63+march!K63+april!K63+may!K63+june!K63+july!K63+august!K63+september!K63+'october '!K63+november!K63+december!K63</f>
        <v>14705000</v>
      </c>
      <c r="L63" s="12">
        <f>+J63-K63</f>
        <v>0</v>
      </c>
      <c r="M63" s="12"/>
      <c r="N63" s="12">
        <f>+january!N63+february!N63+march!N63+april!N63+may!N63+june!N63+july!N63+august!N63+september!N63+'october '!N63+november!N63+december!N63</f>
        <v>21508389</v>
      </c>
      <c r="O63" s="12">
        <f>+january!O63+february!O63+march!O63+april!O63+may!O63+june!O63+july!O63+august!O63+september!O63+'october '!O63+november!O63+december!O63</f>
        <v>21508385.449999999</v>
      </c>
      <c r="P63" s="12">
        <f>+N63-O63</f>
        <v>3.5500000007450581</v>
      </c>
      <c r="Q63" s="13"/>
      <c r="R63" s="12">
        <f t="shared" si="27"/>
        <v>255741228.53</v>
      </c>
      <c r="S63" s="12">
        <f t="shared" si="27"/>
        <v>250325964</v>
      </c>
      <c r="T63" s="14">
        <f>+R63-S63</f>
        <v>5415264.5300000012</v>
      </c>
      <c r="U63" s="17">
        <f t="shared" si="7"/>
        <v>0.97882521890925867</v>
      </c>
    </row>
    <row r="64" spans="2:21" ht="30" customHeight="1">
      <c r="B64" s="18"/>
      <c r="C64" s="10"/>
      <c r="D64" s="10"/>
      <c r="E64" s="22" t="s">
        <v>62</v>
      </c>
      <c r="F64" s="12">
        <f>+january!F64+february!F64+march!F64+april!F64+may!F64+june!F64+july!F64+august!F64+september!F64+'october '!F64+november!F64+december!F64</f>
        <v>302513492</v>
      </c>
      <c r="G64" s="12">
        <f>+january!G64+february!G64+march!G64+april!G64+may!G64+june!G64+july!G64+august!G64+september!G64+'october '!G64+november!G64+december!G64</f>
        <v>302513006.77000004</v>
      </c>
      <c r="H64" s="12">
        <f>+F64-G64</f>
        <v>485.22999995946884</v>
      </c>
      <c r="I64" s="13"/>
      <c r="J64" s="12">
        <f>+january!J64+february!J64+march!J64+april!J64+may!J64+june!J64+july!J64+august!J64+september!J64+'october '!J64+november!J64+december!J64</f>
        <v>34855818</v>
      </c>
      <c r="K64" s="12">
        <f>+january!K64+february!K64+march!K64+april!K64+may!K64+june!K64+july!K64+august!K64+september!K64+'october '!K64+november!K64+december!K64</f>
        <v>34855818</v>
      </c>
      <c r="L64" s="12">
        <f>+J64-K64</f>
        <v>0</v>
      </c>
      <c r="M64" s="12"/>
      <c r="N64" s="12">
        <f>+january!N64+february!N64+march!N64+april!N64+may!N64+june!N64+july!N64+august!N64+september!N64+'october '!N64+november!N64+december!N64</f>
        <v>6926638</v>
      </c>
      <c r="O64" s="12">
        <f>+january!O64+february!O64+march!O64+april!O64+may!O64+june!O64+july!O64+august!O64+september!O64+'october '!O64+november!O64+december!O64</f>
        <v>6533577.2800000003</v>
      </c>
      <c r="P64" s="12">
        <f>+N64-O64</f>
        <v>393060.71999999974</v>
      </c>
      <c r="Q64" s="13"/>
      <c r="R64" s="12">
        <f t="shared" si="27"/>
        <v>344295948</v>
      </c>
      <c r="S64" s="12">
        <f t="shared" si="27"/>
        <v>343902402.05000001</v>
      </c>
      <c r="T64" s="14">
        <f>+R64-S64</f>
        <v>393545.94999998808</v>
      </c>
      <c r="U64" s="17">
        <f t="shared" si="7"/>
        <v>0.99885695445361444</v>
      </c>
    </row>
    <row r="65" spans="2:21" ht="30" customHeight="1">
      <c r="B65" s="18"/>
      <c r="C65" s="10"/>
      <c r="D65" s="10"/>
      <c r="E65" s="21" t="s">
        <v>63</v>
      </c>
      <c r="F65" s="12">
        <f>+january!F65+february!F65+march!F65+april!F65+may!F65+june!F65+july!F65+august!F65+september!F65+'october '!F65+november!F65+december!F65</f>
        <v>215968100</v>
      </c>
      <c r="G65" s="12">
        <f>+january!G65+february!G65+march!G65+april!G65+may!G65+june!G65+july!G65+august!G65+september!G65+'october '!G65+november!G65+december!G65</f>
        <v>215962680.91000003</v>
      </c>
      <c r="H65" s="12">
        <f>+F65-G65</f>
        <v>5419.089999973774</v>
      </c>
      <c r="I65" s="13"/>
      <c r="J65" s="12">
        <f>+january!J65+february!J65+march!J65+april!J65+may!J65+june!J65+july!J65+august!J65+september!J65+'october '!J65+november!J65+december!J65</f>
        <v>16217346</v>
      </c>
      <c r="K65" s="12">
        <f>+january!K65+february!K65+march!K65+april!K65+may!K65+june!K65+july!K65+august!K65+september!K65+'october '!K65+november!K65+december!K65</f>
        <v>16217144.809999999</v>
      </c>
      <c r="L65" s="12">
        <f>+J65-K65</f>
        <v>201.1900000013411</v>
      </c>
      <c r="M65" s="12"/>
      <c r="N65" s="12">
        <f>+january!N65+february!N65+march!N65+april!N65+may!N65+june!N65+july!N65+august!N65+september!N65+'october '!N65+november!N65+december!N65</f>
        <v>12383990</v>
      </c>
      <c r="O65" s="12">
        <f>+january!O65+february!O65+march!O65+april!O65+may!O65+june!O65+july!O65+august!O65+september!O65+'october '!O65+november!O65+december!O65</f>
        <v>10532492.65</v>
      </c>
      <c r="P65" s="12">
        <f>+N65-O65</f>
        <v>1851497.3499999996</v>
      </c>
      <c r="Q65" s="13"/>
      <c r="R65" s="12">
        <f t="shared" si="27"/>
        <v>244569436</v>
      </c>
      <c r="S65" s="12">
        <f t="shared" si="27"/>
        <v>242712318.37000003</v>
      </c>
      <c r="T65" s="14">
        <f>+R65-S65</f>
        <v>1857117.6299999654</v>
      </c>
      <c r="U65" s="17">
        <f t="shared" si="7"/>
        <v>0.99240658333938359</v>
      </c>
    </row>
    <row r="66" spans="2:21" ht="24.95" customHeight="1">
      <c r="B66" s="18"/>
      <c r="C66" s="10"/>
      <c r="D66" s="10"/>
      <c r="E66" s="21"/>
      <c r="F66" s="12">
        <f>+january!F66+february!F66+march!F66+april!F66+may!F66+june!F66+july!F66+august!F66+september!F66+'october '!F66+november!F66+december!F66</f>
        <v>0</v>
      </c>
      <c r="G66" s="12">
        <f>+january!G66+february!G66+march!G66+april!G66+may!G66+june!G66+july!G66+august!G66+september!G66+'october '!G66+november!G66+december!G66</f>
        <v>0</v>
      </c>
      <c r="H66" s="12"/>
      <c r="I66" s="13"/>
      <c r="J66" s="12">
        <f>+january!J66+february!J66+march!J66+april!J66+may!J66+june!J66+july!J66+august!J66+september!J66+'october '!J66+november!J66+december!J66</f>
        <v>0</v>
      </c>
      <c r="K66" s="12">
        <f>+january!K66+february!K66+march!K66+april!K66+may!K66+june!K66+july!K66+august!K66+september!K66+'october '!K66+november!K66+december!K66</f>
        <v>0</v>
      </c>
      <c r="L66" s="12"/>
      <c r="M66" s="12"/>
      <c r="N66" s="12">
        <f>+january!N66+february!N66+march!N66+april!N66+may!N66+june!N66+july!N66+august!N66+september!N66+'october '!N66+november!N66+december!N66</f>
        <v>0</v>
      </c>
      <c r="O66" s="12">
        <f>+january!O66+february!O66+march!O66+april!O66+may!O66+june!O66+july!O66+august!O66+september!O66+'october '!O66+november!O66+december!O66</f>
        <v>0</v>
      </c>
      <c r="P66" s="12"/>
      <c r="Q66" s="13"/>
      <c r="R66" s="12"/>
      <c r="S66" s="12"/>
      <c r="T66" s="14"/>
      <c r="U66" s="17"/>
    </row>
    <row r="67" spans="2:21" ht="24.95" customHeight="1">
      <c r="B67" s="18"/>
      <c r="C67" s="20" t="s">
        <v>64</v>
      </c>
      <c r="D67" s="20"/>
      <c r="E67" s="10"/>
      <c r="F67" s="12">
        <f>+january!F67+february!F67+march!F67+april!F67+may!F67+june!F67+july!F67+august!F67+september!F67+'october '!F67+november!F67+december!F67</f>
        <v>0</v>
      </c>
      <c r="G67" s="12">
        <f>+january!G67+february!G67+march!G67+april!G67+may!G67+june!G67+july!G67+august!G67+september!G67+'october '!G67+november!G67+december!G67</f>
        <v>0</v>
      </c>
      <c r="H67" s="12"/>
      <c r="I67" s="13"/>
      <c r="J67" s="12">
        <f>+january!J67+february!J67+march!J67+april!J67+may!J67+june!J67+july!J67+august!J67+september!J67+'october '!J67+november!J67+december!J67</f>
        <v>0</v>
      </c>
      <c r="K67" s="12">
        <f>+january!K67+february!K67+march!K67+april!K67+may!K67+june!K67+july!K67+august!K67+september!K67+'october '!K67+november!K67+december!K67</f>
        <v>0</v>
      </c>
      <c r="L67" s="12"/>
      <c r="M67" s="12"/>
      <c r="N67" s="12">
        <f>+january!N67+february!N67+march!N67+april!N67+may!N67+june!N67+july!N67+august!N67+september!N67+'october '!N67+november!N67+december!N67</f>
        <v>0</v>
      </c>
      <c r="O67" s="12">
        <f>+january!O67+february!O67+march!O67+april!O67+may!O67+june!O67+july!O67+august!O67+september!O67+'october '!O67+november!O67+december!O67</f>
        <v>0</v>
      </c>
      <c r="P67" s="12"/>
      <c r="Q67" s="13"/>
      <c r="R67" s="12"/>
      <c r="S67" s="12"/>
      <c r="T67" s="14"/>
      <c r="U67" s="17"/>
    </row>
    <row r="68" spans="2:21" ht="24.95" customHeight="1">
      <c r="B68" s="18"/>
      <c r="C68" s="20"/>
      <c r="D68" s="20"/>
      <c r="E68" s="10" t="s">
        <v>65</v>
      </c>
      <c r="F68" s="12">
        <f>+january!F68+february!F68+march!F68+april!F68+may!F68+june!F68+july!F68+august!F68+september!F68+'october '!F68+november!F68+december!F68</f>
        <v>302453477</v>
      </c>
      <c r="G68" s="12">
        <f>+january!G68+february!G68+march!G68+april!G68+may!G68+june!G68+july!G68+august!G68+september!G68+'october '!G68+november!G68+december!G68</f>
        <v>302263968.03999996</v>
      </c>
      <c r="H68" s="12">
        <f>+F68-G68</f>
        <v>189508.96000003815</v>
      </c>
      <c r="I68" s="13"/>
      <c r="J68" s="12">
        <f>+january!J68+february!J68+march!J68+april!J68+may!J68+june!J68+july!J68+august!J68+september!J68+'october '!J68+november!J68+december!J68</f>
        <v>337687914</v>
      </c>
      <c r="K68" s="12">
        <f>+january!K68+february!K68+march!K68+april!K68+may!K68+june!K68+july!K68+august!K68+september!K68+'october '!K68+november!K68+december!K68</f>
        <v>337657446.23999995</v>
      </c>
      <c r="L68" s="12">
        <f>+J68-K68</f>
        <v>30467.760000050068</v>
      </c>
      <c r="M68" s="12"/>
      <c r="N68" s="12">
        <f>+january!N68+february!N68+march!N68+april!N68+may!N68+june!N68+july!N68+august!N68+september!N68+'october '!N68+november!N68+december!N68</f>
        <v>18806575</v>
      </c>
      <c r="O68" s="12">
        <f>+january!O68+february!O68+march!O68+april!O68+may!O68+june!O68+july!O68+august!O68+september!O68+'october '!O68+november!O68+december!O68</f>
        <v>18561158.530000001</v>
      </c>
      <c r="P68" s="12">
        <f>+N68-O68</f>
        <v>245416.46999999881</v>
      </c>
      <c r="Q68" s="13"/>
      <c r="R68" s="12">
        <f t="shared" ref="R68:S72" si="28">+F68+J68+N68</f>
        <v>658947966</v>
      </c>
      <c r="S68" s="12">
        <f t="shared" si="28"/>
        <v>658482572.80999994</v>
      </c>
      <c r="T68" s="14">
        <f>+R68-S68</f>
        <v>465393.19000005722</v>
      </c>
      <c r="U68" s="17">
        <f t="shared" si="7"/>
        <v>0.99929373301988456</v>
      </c>
    </row>
    <row r="69" spans="2:21" ht="30.75" customHeight="1">
      <c r="B69" s="18"/>
      <c r="C69" s="10"/>
      <c r="D69" s="10"/>
      <c r="E69" s="21" t="s">
        <v>66</v>
      </c>
      <c r="F69" s="12">
        <f>+january!F69+february!F69+march!F69+april!F69+may!F69+june!F69+july!F69+august!F69+september!F69+'october '!F69+november!F69+december!F69</f>
        <v>682381487</v>
      </c>
      <c r="G69" s="12">
        <f>+january!G69+february!G69+march!G69+april!G69+may!G69+june!G69+july!G69+august!G69+september!G69+'october '!G69+november!G69+december!G69</f>
        <v>380899803.85000002</v>
      </c>
      <c r="H69" s="12">
        <f>+F69-G69</f>
        <v>301481683.14999998</v>
      </c>
      <c r="I69" s="13"/>
      <c r="J69" s="12">
        <f>+january!J69+february!J69+march!J69+april!J69+may!J69+june!J69+july!J69+august!J69+september!J69+'october '!J69+november!J69+december!J69</f>
        <v>17903694</v>
      </c>
      <c r="K69" s="12">
        <f>+january!K69+february!K69+march!K69+april!K69+may!K69+june!K69+july!K69+august!K69+september!K69+'october '!K69+november!K69+december!K69</f>
        <v>17225534.41</v>
      </c>
      <c r="L69" s="12">
        <f>+J69-K69</f>
        <v>678159.58999999985</v>
      </c>
      <c r="M69" s="12"/>
      <c r="N69" s="12">
        <f>+january!N69+february!N69+march!N69+april!N69+may!N69+june!N69+july!N69+august!N69+september!N69+'october '!N69+november!N69+december!N69</f>
        <v>2824222</v>
      </c>
      <c r="O69" s="12">
        <f>+january!O69+february!O69+march!O69+april!O69+may!O69+june!O69+july!O69+august!O69+september!O69+'october '!O69+november!O69+december!O69</f>
        <v>2824220.09</v>
      </c>
      <c r="P69" s="12">
        <f>+N69-O69</f>
        <v>1.9100000001490116</v>
      </c>
      <c r="Q69" s="13"/>
      <c r="R69" s="12">
        <f t="shared" si="28"/>
        <v>703109403</v>
      </c>
      <c r="S69" s="12">
        <f t="shared" si="28"/>
        <v>400949558.35000002</v>
      </c>
      <c r="T69" s="14">
        <f>+R69-S69</f>
        <v>302159844.64999998</v>
      </c>
      <c r="U69" s="17">
        <f t="shared" si="7"/>
        <v>0.57025202143399589</v>
      </c>
    </row>
    <row r="70" spans="2:21" ht="30.75" customHeight="1">
      <c r="B70" s="18"/>
      <c r="C70" s="10"/>
      <c r="D70" s="10"/>
      <c r="E70" s="21" t="s">
        <v>67</v>
      </c>
      <c r="F70" s="12">
        <f>+january!F70+february!F70+march!F70+april!F70+may!F70+june!F70+july!F70+august!F70+september!F70+'october '!F70+november!F70+december!F70</f>
        <v>162022496</v>
      </c>
      <c r="G70" s="12">
        <f>+january!G70+february!G70+march!G70+april!G70+may!G70+june!G70+july!G70+august!G70+september!G70+'october '!G70+november!G70+december!G70</f>
        <v>150508669.65999997</v>
      </c>
      <c r="H70" s="12">
        <f>+F70-G70</f>
        <v>11513826.340000033</v>
      </c>
      <c r="I70" s="13"/>
      <c r="J70" s="12">
        <f>+january!J70+february!J70+march!J70+april!J70+may!J70+june!J70+july!J70+august!J70+september!J70+'october '!J70+november!J70+december!J70</f>
        <v>13085134</v>
      </c>
      <c r="K70" s="12">
        <f>+january!K70+february!K70+march!K70+april!K70+may!K70+june!K70+july!K70+august!K70+september!K70+'october '!K70+november!K70+december!K70</f>
        <v>8559699.4299999997</v>
      </c>
      <c r="L70" s="12">
        <f>+J70-K70</f>
        <v>4525434.57</v>
      </c>
      <c r="M70" s="12"/>
      <c r="N70" s="12">
        <f>+january!N70+february!N70+march!N70+april!N70+may!N70+june!N70+july!N70+august!N70+september!N70+'october '!N70+november!N70+december!N70</f>
        <v>3086400</v>
      </c>
      <c r="O70" s="12">
        <f>+january!O70+february!O70+march!O70+april!O70+may!O70+june!O70+july!O70+august!O70+september!O70+'october '!O70+november!O70+december!O70</f>
        <v>3067949.47</v>
      </c>
      <c r="P70" s="12">
        <f>+N70-O70</f>
        <v>18450.529999999795</v>
      </c>
      <c r="Q70" s="13"/>
      <c r="R70" s="12">
        <f t="shared" si="28"/>
        <v>178194030</v>
      </c>
      <c r="S70" s="12">
        <f t="shared" si="28"/>
        <v>162136318.55999997</v>
      </c>
      <c r="T70" s="14">
        <f>+R70-S70</f>
        <v>16057711.440000027</v>
      </c>
      <c r="U70" s="17">
        <f t="shared" si="7"/>
        <v>0.90988636690017044</v>
      </c>
    </row>
    <row r="71" spans="2:21" ht="30.75" customHeight="1">
      <c r="B71" s="18"/>
      <c r="C71" s="10"/>
      <c r="D71" s="10"/>
      <c r="E71" s="22" t="s">
        <v>68</v>
      </c>
      <c r="F71" s="12">
        <f>+january!F71+february!F71+march!F71+april!F71+may!F71+june!F71+july!F71+august!F71+september!F71+'october '!F71+november!F71+december!F71</f>
        <v>128922555</v>
      </c>
      <c r="G71" s="12">
        <f>+january!G71+february!G71+march!G71+april!G71+may!G71+june!G71+july!G71+august!G71+september!G71+'october '!G71+november!G71+december!G71</f>
        <v>97838194.840000004</v>
      </c>
      <c r="H71" s="12">
        <f>+F71-G71</f>
        <v>31084360.159999996</v>
      </c>
      <c r="I71" s="13"/>
      <c r="J71" s="12">
        <f>+january!J71+february!J71+march!J71+april!J71+may!J71+june!J71+july!J71+august!J71+september!J71+'october '!J71+november!J71+december!J71</f>
        <v>9310723</v>
      </c>
      <c r="K71" s="12">
        <f>+january!K71+february!K71+march!K71+april!K71+may!K71+june!K71+july!K71+august!K71+september!K71+'october '!K71+november!K71+december!K71</f>
        <v>9172860.3200000003</v>
      </c>
      <c r="L71" s="12">
        <f>+J71-K71</f>
        <v>137862.6799999997</v>
      </c>
      <c r="M71" s="12"/>
      <c r="N71" s="12">
        <f>+january!N71+february!N71+march!N71+april!N71+may!N71+june!N71+july!N71+august!N71+september!N71+'october '!N71+november!N71+december!N71</f>
        <v>0</v>
      </c>
      <c r="O71" s="12">
        <f>+january!O71+february!O71+march!O71+april!O71+may!O71+june!O71+july!O71+august!O71+september!O71+'october '!O71+november!O71+december!O71</f>
        <v>0</v>
      </c>
      <c r="P71" s="12">
        <f>+N71-O71</f>
        <v>0</v>
      </c>
      <c r="Q71" s="13"/>
      <c r="R71" s="12">
        <f t="shared" si="28"/>
        <v>138233278</v>
      </c>
      <c r="S71" s="12">
        <f t="shared" si="28"/>
        <v>107011055.16</v>
      </c>
      <c r="T71" s="14">
        <f>+R71-S71</f>
        <v>31222222.840000004</v>
      </c>
      <c r="U71" s="17">
        <f t="shared" si="7"/>
        <v>0.7741338171840213</v>
      </c>
    </row>
    <row r="72" spans="2:21" ht="24.95" customHeight="1">
      <c r="B72" s="18"/>
      <c r="C72" s="10"/>
      <c r="D72" s="10"/>
      <c r="E72" s="41" t="s">
        <v>69</v>
      </c>
      <c r="F72" s="12">
        <f>+january!F72+february!F72+march!F72+april!F72+may!F72+june!F72+july!F72+august!F72+september!F72+'october '!F72+november!F72+december!F72</f>
        <v>64928989</v>
      </c>
      <c r="G72" s="12">
        <f>+january!G72+february!G72+march!G72+april!G72+may!G72+june!G72+july!G72+august!G72+september!G72+'october '!G72+november!G72+december!G72</f>
        <v>40459946.18</v>
      </c>
      <c r="H72" s="12">
        <f>+F72-G72</f>
        <v>24469042.82</v>
      </c>
      <c r="I72" s="13"/>
      <c r="J72" s="12">
        <f>+january!J72+february!J72+march!J72+april!J72+may!J72+june!J72+july!J72+august!J72+september!J72+'october '!J72+november!J72+december!J72</f>
        <v>1110000</v>
      </c>
      <c r="K72" s="12">
        <f>+january!K72+february!K72+march!K72+april!K72+may!K72+june!K72+july!K72+august!K72+september!K72+'october '!K72+november!K72+december!K72</f>
        <v>540000</v>
      </c>
      <c r="L72" s="12">
        <f>+J72-K72</f>
        <v>570000</v>
      </c>
      <c r="M72" s="12"/>
      <c r="N72" s="12">
        <f>+january!N72+february!N72+march!N72+april!N72+may!N72+june!N72+july!N72+august!N72+september!N72+'october '!N72+november!N72+december!N72</f>
        <v>170427913</v>
      </c>
      <c r="O72" s="12">
        <f>+january!O72+february!O72+march!O72+april!O72+may!O72+june!O72+july!O72+august!O72+september!O72+'october '!O72+november!O72+december!O72</f>
        <v>104723043.23000002</v>
      </c>
      <c r="P72" s="12">
        <f>+N72-O72</f>
        <v>65704869.769999981</v>
      </c>
      <c r="Q72" s="13"/>
      <c r="R72" s="12">
        <f t="shared" si="28"/>
        <v>236466902</v>
      </c>
      <c r="S72" s="12">
        <f t="shared" si="28"/>
        <v>145722989.41000003</v>
      </c>
      <c r="T72" s="14">
        <f>+R72-S72</f>
        <v>90743912.589999974</v>
      </c>
      <c r="U72" s="17">
        <f t="shared" si="7"/>
        <v>0.61625110397056759</v>
      </c>
    </row>
    <row r="73" spans="2:21" ht="24.95" customHeight="1">
      <c r="B73" s="18"/>
      <c r="C73" s="10"/>
      <c r="D73" s="10"/>
      <c r="E73" s="41"/>
      <c r="F73" s="12">
        <f>+january!F73+february!F73+march!F73+april!F73+may!F73+june!F73+july!F73+august!F73+september!F73+'october '!F73+november!F73+december!F73</f>
        <v>0</v>
      </c>
      <c r="G73" s="12">
        <f>+january!G73+february!G73+march!G73+april!G73+may!G73+june!G73+july!G73+august!G73+september!G73+'october '!G73+november!G73+december!G73</f>
        <v>0</v>
      </c>
      <c r="H73" s="12"/>
      <c r="I73" s="13"/>
      <c r="J73" s="12">
        <f>+january!J73+february!J73+march!J73+april!J73+may!J73+june!J73+july!J73+august!J73+september!J73+'october '!J73+november!J73+december!J73</f>
        <v>0</v>
      </c>
      <c r="K73" s="12">
        <f>+january!K73+february!K73+march!K73+april!K73+may!K73+june!K73+july!K73+august!K73+september!K73+'october '!K73+november!K73+december!K73</f>
        <v>0</v>
      </c>
      <c r="L73" s="12"/>
      <c r="M73" s="12"/>
      <c r="N73" s="12">
        <f>+january!N73+february!N73+march!N73+april!N73+may!N73+june!N73+july!N73+august!N73+september!N73+'october '!N73+november!N73+december!N73</f>
        <v>0</v>
      </c>
      <c r="O73" s="12">
        <f>+january!O73+february!O73+march!O73+april!O73+may!O73+june!O73+july!O73+august!O73+september!O73+'october '!O73+november!O73+december!O73</f>
        <v>0</v>
      </c>
      <c r="P73" s="12"/>
      <c r="Q73" s="13"/>
      <c r="R73" s="12"/>
      <c r="S73" s="12"/>
      <c r="T73" s="14"/>
      <c r="U73" s="17"/>
    </row>
    <row r="74" spans="2:21" ht="24.95" customHeight="1">
      <c r="B74" s="18"/>
      <c r="C74" s="20" t="s">
        <v>70</v>
      </c>
      <c r="D74" s="20"/>
      <c r="E74" s="10"/>
      <c r="F74" s="12">
        <f>+january!F74+february!F74+march!F74+april!F74+may!F74+june!F74+july!F74+august!F74+september!F74+'october '!F74+november!F74+december!F74</f>
        <v>0</v>
      </c>
      <c r="G74" s="12">
        <f>+january!G74+february!G74+march!G74+april!G74+may!G74+june!G74+july!G74+august!G74+september!G74+'october '!G74+november!G74+december!G74</f>
        <v>0</v>
      </c>
      <c r="H74" s="12"/>
      <c r="I74" s="13"/>
      <c r="J74" s="12">
        <f>+january!J74+february!J74+march!J74+april!J74+may!J74+june!J74+july!J74+august!J74+september!J74+'october '!J74+november!J74+december!J74</f>
        <v>0</v>
      </c>
      <c r="K74" s="12">
        <f>+january!K74+february!K74+march!K74+april!K74+may!K74+june!K74+july!K74+august!K74+september!K74+'october '!K74+november!K74+december!K74</f>
        <v>0</v>
      </c>
      <c r="L74" s="12"/>
      <c r="M74" s="12"/>
      <c r="N74" s="12">
        <f>+january!N74+february!N74+march!N74+april!N74+may!N74+june!N74+july!N74+august!N74+september!N74+'october '!N74+november!N74+december!N74</f>
        <v>0</v>
      </c>
      <c r="O74" s="12">
        <f>+january!O74+february!O74+march!O74+april!O74+may!O74+june!O74+july!O74+august!O74+september!O74+'october '!O74+november!O74+december!O74</f>
        <v>0</v>
      </c>
      <c r="P74" s="12"/>
      <c r="Q74" s="13"/>
      <c r="R74" s="12"/>
      <c r="S74" s="12"/>
      <c r="T74" s="14"/>
      <c r="U74" s="17"/>
    </row>
    <row r="75" spans="2:21" ht="24.95" customHeight="1">
      <c r="B75" s="18"/>
      <c r="C75" s="20"/>
      <c r="D75" s="20"/>
      <c r="E75" s="10" t="s">
        <v>71</v>
      </c>
      <c r="F75" s="12">
        <f>+january!F75+february!F75+march!F75+april!F75+may!F75+june!F75+july!F75+august!F75+september!F75+'october '!F75+november!F75+december!F75</f>
        <v>954961340</v>
      </c>
      <c r="G75" s="12">
        <f>+january!G75+february!G75+march!G75+april!G75+may!G75+june!G75+july!G75+august!G75+september!G75+'october '!G75+november!G75+december!G75</f>
        <v>763522172.16999996</v>
      </c>
      <c r="H75" s="12">
        <f t="shared" ref="H75:H80" si="29">+F75-G75</f>
        <v>191439167.83000004</v>
      </c>
      <c r="I75" s="13"/>
      <c r="J75" s="12">
        <f>+january!J75+february!J75+march!J75+april!J75+may!J75+june!J75+july!J75+august!J75+september!J75+'october '!J75+november!J75+december!J75</f>
        <v>12166277.789999999</v>
      </c>
      <c r="K75" s="12">
        <f>+january!K75+february!K75+march!K75+april!K75+may!K75+june!K75+july!K75+august!K75+september!K75+'october '!K75+november!K75+december!K75</f>
        <v>11852762.710000001</v>
      </c>
      <c r="L75" s="12">
        <f t="shared" ref="L75:L80" si="30">+J75-K75</f>
        <v>313515.07999999821</v>
      </c>
      <c r="M75" s="12"/>
      <c r="N75" s="12">
        <f>+january!N75+february!N75+march!N75+april!N75+may!N75+june!N75+july!N75+august!N75+september!N75+'october '!N75+november!N75+december!N75</f>
        <v>27549083</v>
      </c>
      <c r="O75" s="12">
        <f>+january!O75+february!O75+march!O75+april!O75+may!O75+june!O75+july!O75+august!O75+september!O75+'october '!O75+november!O75+december!O75</f>
        <v>27331422.289999999</v>
      </c>
      <c r="P75" s="12">
        <f t="shared" ref="P75:P80" si="31">+N75-O75</f>
        <v>217660.71000000089</v>
      </c>
      <c r="Q75" s="13"/>
      <c r="R75" s="12">
        <f t="shared" ref="R75:S80" si="32">+F75+J75+N75</f>
        <v>994676700.78999996</v>
      </c>
      <c r="S75" s="12">
        <f t="shared" si="32"/>
        <v>802706357.16999996</v>
      </c>
      <c r="T75" s="14">
        <f t="shared" ref="T75:T80" si="33">+R75-S75</f>
        <v>191970343.62</v>
      </c>
      <c r="U75" s="17">
        <f t="shared" ref="U75:U137" si="34">+S75/R75</f>
        <v>0.80700227172554484</v>
      </c>
    </row>
    <row r="76" spans="2:21" ht="28.5" customHeight="1">
      <c r="B76" s="18"/>
      <c r="C76" s="10"/>
      <c r="D76" s="10"/>
      <c r="E76" s="21" t="s">
        <v>72</v>
      </c>
      <c r="F76" s="12">
        <f>+january!F76+february!F76+march!F76+april!F76+may!F76+june!F76+july!F76+august!F76+september!F76+'october '!F76+november!F76+december!F76</f>
        <v>325334854</v>
      </c>
      <c r="G76" s="12">
        <f>+january!G76+february!G76+march!G76+april!G76+may!G76+june!G76+july!G76+august!G76+september!G76+'october '!G76+november!G76+december!G76</f>
        <v>297336606.62</v>
      </c>
      <c r="H76" s="12">
        <f t="shared" si="29"/>
        <v>27998247.379999995</v>
      </c>
      <c r="I76" s="13"/>
      <c r="J76" s="12">
        <f>+january!J76+february!J76+march!J76+april!J76+may!J76+june!J76+july!J76+august!J76+september!J76+'october '!J76+november!J76+december!J76</f>
        <v>3049223</v>
      </c>
      <c r="K76" s="12">
        <f>+january!K76+february!K76+march!K76+april!K76+may!K76+june!K76+july!K76+august!K76+september!K76+'october '!K76+november!K76+december!K76</f>
        <v>2776723</v>
      </c>
      <c r="L76" s="12">
        <f t="shared" si="30"/>
        <v>272500</v>
      </c>
      <c r="M76" s="12"/>
      <c r="N76" s="12">
        <f>+january!N76+february!N76+march!N76+april!N76+may!N76+june!N76+july!N76+august!N76+september!N76+'october '!N76+november!N76+december!N76</f>
        <v>1698085</v>
      </c>
      <c r="O76" s="12">
        <f>+january!O76+february!O76+march!O76+april!O76+may!O76+june!O76+july!O76+august!O76+september!O76+'october '!O76+november!O76+december!O76</f>
        <v>1912783.64</v>
      </c>
      <c r="P76" s="12">
        <f t="shared" si="31"/>
        <v>-214698.6399999999</v>
      </c>
      <c r="Q76" s="13"/>
      <c r="R76" s="12">
        <f t="shared" si="32"/>
        <v>330082162</v>
      </c>
      <c r="S76" s="12">
        <f t="shared" si="32"/>
        <v>302026113.25999999</v>
      </c>
      <c r="T76" s="14">
        <f t="shared" si="33"/>
        <v>28056048.74000001</v>
      </c>
      <c r="U76" s="17">
        <f t="shared" si="34"/>
        <v>0.9150028327189641</v>
      </c>
    </row>
    <row r="77" spans="2:21" ht="28.5" customHeight="1">
      <c r="B77" s="18"/>
      <c r="C77" s="10"/>
      <c r="D77" s="10"/>
      <c r="E77" s="21" t="s">
        <v>73</v>
      </c>
      <c r="F77" s="12">
        <f>+january!F77+february!F77+march!F77+april!F77+may!F77+june!F77+july!F77+august!F77+september!F77+'october '!F77+november!F77+december!F77</f>
        <v>36442000</v>
      </c>
      <c r="G77" s="12">
        <f>+january!G77+february!G77+march!G77+april!G77+may!G77+june!G77+july!G77+august!G77+september!G77+'october '!G77+november!G77+december!G77</f>
        <v>25944289.649999999</v>
      </c>
      <c r="H77" s="12">
        <f t="shared" si="29"/>
        <v>10497710.350000001</v>
      </c>
      <c r="I77" s="13"/>
      <c r="J77" s="12">
        <f>+january!J77+february!J77+march!J77+april!J77+may!J77+june!J77+july!J77+august!J77+september!J77+'october '!J77+november!J77+december!J77</f>
        <v>295000</v>
      </c>
      <c r="K77" s="12">
        <f>+january!K77+february!K77+march!K77+april!K77+may!K77+june!K77+july!K77+august!K77+september!K77+'october '!K77+november!K77+december!K77</f>
        <v>280000</v>
      </c>
      <c r="L77" s="12">
        <f t="shared" si="30"/>
        <v>15000</v>
      </c>
      <c r="M77" s="12"/>
      <c r="N77" s="12">
        <f>+january!N77+february!N77+march!N77+april!N77+may!N77+june!N77+july!N77+august!N77+september!N77+'october '!N77+november!N77+december!N77</f>
        <v>48557</v>
      </c>
      <c r="O77" s="12">
        <f>+january!O77+february!O77+march!O77+april!O77+may!O77+june!O77+july!O77+august!O77+september!O77+'october '!O77+november!O77+december!O77</f>
        <v>48556.89</v>
      </c>
      <c r="P77" s="12">
        <f t="shared" si="31"/>
        <v>0.11000000000058208</v>
      </c>
      <c r="Q77" s="13"/>
      <c r="R77" s="12">
        <f t="shared" si="32"/>
        <v>36785557</v>
      </c>
      <c r="S77" s="12">
        <f t="shared" si="32"/>
        <v>26272846.539999999</v>
      </c>
      <c r="T77" s="14">
        <f t="shared" si="33"/>
        <v>10512710.460000001</v>
      </c>
      <c r="U77" s="17">
        <f t="shared" si="34"/>
        <v>0.71421635779499004</v>
      </c>
    </row>
    <row r="78" spans="2:21" ht="28.5" customHeight="1">
      <c r="B78" s="18"/>
      <c r="C78" s="10"/>
      <c r="D78" s="10"/>
      <c r="E78" s="21" t="s">
        <v>74</v>
      </c>
      <c r="F78" s="12">
        <f>+january!F78+february!F78+march!F78+april!F78+may!F78+june!F78+july!F78+august!F78+september!F78+'october '!F78+november!F78+december!F78</f>
        <v>386258777</v>
      </c>
      <c r="G78" s="12">
        <f>+january!G78+february!G78+march!G78+april!G78+may!G78+june!G78+july!G78+august!G78+september!G78+'october '!G78+november!G78+december!G78</f>
        <v>317033119.55000001</v>
      </c>
      <c r="H78" s="12">
        <f t="shared" si="29"/>
        <v>69225657.449999988</v>
      </c>
      <c r="I78" s="13"/>
      <c r="J78" s="12">
        <f>+january!J78+february!J78+march!J78+april!J78+may!J78+june!J78+july!J78+august!J78+september!J78+'october '!J78+november!J78+december!J78</f>
        <v>0</v>
      </c>
      <c r="K78" s="12">
        <f>+january!K78+february!K78+march!K78+april!K78+may!K78+june!K78+july!K78+august!K78+september!K78+'october '!K78+november!K78+december!K78</f>
        <v>0</v>
      </c>
      <c r="L78" s="12">
        <f t="shared" si="30"/>
        <v>0</v>
      </c>
      <c r="M78" s="12"/>
      <c r="N78" s="12">
        <f>+january!N78+february!N78+march!N78+april!N78+may!N78+june!N78+july!N78+august!N78+september!N78+'october '!N78+november!N78+december!N78</f>
        <v>1894079</v>
      </c>
      <c r="O78" s="12">
        <f>+january!O78+february!O78+march!O78+april!O78+may!O78+june!O78+july!O78+august!O78+september!O78+'october '!O78+november!O78+december!O78</f>
        <v>1836021.76</v>
      </c>
      <c r="P78" s="12">
        <f t="shared" si="31"/>
        <v>58057.239999999991</v>
      </c>
      <c r="Q78" s="13"/>
      <c r="R78" s="12">
        <f t="shared" si="32"/>
        <v>388152856</v>
      </c>
      <c r="S78" s="12">
        <f t="shared" si="32"/>
        <v>318869141.31</v>
      </c>
      <c r="T78" s="14">
        <f t="shared" si="33"/>
        <v>69283714.689999998</v>
      </c>
      <c r="U78" s="17">
        <f t="shared" si="34"/>
        <v>0.8215040450713571</v>
      </c>
    </row>
    <row r="79" spans="2:21" ht="24.95" customHeight="1">
      <c r="B79" s="18"/>
      <c r="C79" s="10"/>
      <c r="D79" s="10"/>
      <c r="E79" s="28" t="s">
        <v>75</v>
      </c>
      <c r="F79" s="12">
        <f>+january!F79+february!F79+march!F79+april!F79+may!F79+june!F79+july!F79+august!F79+september!F79+'october '!F79+november!F79+december!F79</f>
        <v>100833537</v>
      </c>
      <c r="G79" s="12">
        <f>+january!G79+february!G79+march!G79+april!G79+may!G79+june!G79+july!G79+august!G79+september!G79+'october '!G79+november!G79+december!G79</f>
        <v>78061893.979999989</v>
      </c>
      <c r="H79" s="12">
        <f t="shared" si="29"/>
        <v>22771643.020000011</v>
      </c>
      <c r="I79" s="13"/>
      <c r="J79" s="12">
        <f>+january!J79+february!J79+march!J79+april!J79+may!J79+june!J79+july!J79+august!J79+september!J79+'october '!J79+november!J79+december!J79</f>
        <v>515000</v>
      </c>
      <c r="K79" s="12">
        <f>+january!K79+february!K79+march!K79+april!K79+may!K79+june!K79+july!K79+august!K79+september!K79+'october '!K79+november!K79+december!K79</f>
        <v>429043.33</v>
      </c>
      <c r="L79" s="12">
        <f t="shared" si="30"/>
        <v>85956.669999999984</v>
      </c>
      <c r="M79" s="12"/>
      <c r="N79" s="12">
        <f>+january!N79+february!N79+march!N79+april!N79+may!N79+june!N79+july!N79+august!N79+september!N79+'october '!N79+november!N79+december!N79</f>
        <v>335310</v>
      </c>
      <c r="O79" s="12">
        <f>+january!O79+february!O79+march!O79+april!O79+may!O79+june!O79+july!O79+august!O79+september!O79+'october '!O79+november!O79+december!O79</f>
        <v>335308.80000000005</v>
      </c>
      <c r="P79" s="12">
        <f t="shared" si="31"/>
        <v>1.1999999999534339</v>
      </c>
      <c r="Q79" s="13"/>
      <c r="R79" s="12">
        <f t="shared" si="32"/>
        <v>101683847</v>
      </c>
      <c r="S79" s="12">
        <f t="shared" si="32"/>
        <v>78826246.109999985</v>
      </c>
      <c r="T79" s="14">
        <f t="shared" si="33"/>
        <v>22857600.890000015</v>
      </c>
      <c r="U79" s="17">
        <f t="shared" si="34"/>
        <v>0.77520912549659915</v>
      </c>
    </row>
    <row r="80" spans="2:21" ht="24.95" customHeight="1">
      <c r="B80" s="18"/>
      <c r="C80" s="10"/>
      <c r="D80" s="10"/>
      <c r="E80" s="22" t="s">
        <v>76</v>
      </c>
      <c r="F80" s="12">
        <f>+january!F80+february!F80+march!F80+april!F80+may!F80+june!F80+july!F80+august!F80+september!F80+'october '!F80+november!F80+december!F80</f>
        <v>180779516</v>
      </c>
      <c r="G80" s="12">
        <f>+january!G80+february!G80+march!G80+april!G80+may!G80+june!G80+july!G80+august!G80+september!G80+'october '!G80+november!G80+december!G80</f>
        <v>132129283.69</v>
      </c>
      <c r="H80" s="12">
        <f t="shared" si="29"/>
        <v>48650232.310000002</v>
      </c>
      <c r="I80" s="13"/>
      <c r="J80" s="12">
        <f>+january!J80+february!J80+march!J80+april!J80+may!J80+june!J80+july!J80+august!J80+september!J80+'october '!J80+november!J80+december!J80</f>
        <v>1150000</v>
      </c>
      <c r="K80" s="12">
        <f>+january!K80+february!K80+march!K80+april!K80+may!K80+june!K80+july!K80+august!K80+september!K80+'october '!K80+november!K80+december!K80</f>
        <v>1147500</v>
      </c>
      <c r="L80" s="12">
        <f t="shared" si="30"/>
        <v>2500</v>
      </c>
      <c r="M80" s="12"/>
      <c r="N80" s="12">
        <f>+january!N80+february!N80+march!N80+april!N80+may!N80+june!N80+july!N80+august!N80+september!N80+'october '!N80+november!N80+december!N80</f>
        <v>17417142.109999999</v>
      </c>
      <c r="O80" s="12">
        <f>+january!O80+february!O80+march!O80+april!O80+may!O80+june!O80+july!O80+august!O80+september!O80+'october '!O80+november!O80+december!O80</f>
        <v>17417138.149999999</v>
      </c>
      <c r="P80" s="12">
        <f t="shared" si="31"/>
        <v>3.9600000008940697</v>
      </c>
      <c r="Q80" s="13"/>
      <c r="R80" s="12">
        <f t="shared" si="32"/>
        <v>199346658.11000001</v>
      </c>
      <c r="S80" s="12">
        <f t="shared" si="32"/>
        <v>150693921.84</v>
      </c>
      <c r="T80" s="14">
        <f t="shared" si="33"/>
        <v>48652736.270000011</v>
      </c>
      <c r="U80" s="17">
        <f t="shared" si="34"/>
        <v>0.75593904241347598</v>
      </c>
    </row>
    <row r="81" spans="2:21" ht="27.75" customHeight="1">
      <c r="B81" s="18"/>
      <c r="C81" s="10"/>
      <c r="D81" s="10"/>
      <c r="E81" s="31" t="s">
        <v>51</v>
      </c>
      <c r="F81" s="32">
        <f t="shared" ref="F81:S81" si="35">SUM(F55:F80)</f>
        <v>5770963780.5299997</v>
      </c>
      <c r="G81" s="32">
        <f t="shared" si="35"/>
        <v>4715303063.8599987</v>
      </c>
      <c r="H81" s="32">
        <f t="shared" si="35"/>
        <v>1055660716.6700001</v>
      </c>
      <c r="I81" s="32">
        <f t="shared" si="35"/>
        <v>0</v>
      </c>
      <c r="J81" s="32">
        <f t="shared" ref="J81:K81" si="36">SUM(J55:J80)</f>
        <v>746716835.18999994</v>
      </c>
      <c r="K81" s="32">
        <f t="shared" si="36"/>
        <v>739912297.74000001</v>
      </c>
      <c r="L81" s="32">
        <f t="shared" si="35"/>
        <v>6804537.4500000635</v>
      </c>
      <c r="M81" s="32">
        <f t="shared" si="35"/>
        <v>0</v>
      </c>
      <c r="N81" s="32">
        <f t="shared" ref="N81:O81" si="37">SUM(N55:N80)</f>
        <v>350445147.38</v>
      </c>
      <c r="O81" s="32">
        <f t="shared" si="37"/>
        <v>255025539.75</v>
      </c>
      <c r="P81" s="32">
        <f>SUM(P55:P80)</f>
        <v>95419607.629999995</v>
      </c>
      <c r="Q81" s="32">
        <f t="shared" si="35"/>
        <v>0</v>
      </c>
      <c r="R81" s="32">
        <f t="shared" si="35"/>
        <v>6868125763.1000004</v>
      </c>
      <c r="S81" s="32">
        <f t="shared" si="35"/>
        <v>5710240901.3499994</v>
      </c>
      <c r="T81" s="34">
        <f>SUM(T55:T80)</f>
        <v>1157884861.75</v>
      </c>
      <c r="U81" s="17">
        <f t="shared" si="34"/>
        <v>0.83141181427240241</v>
      </c>
    </row>
    <row r="82" spans="2:21" ht="24.95" customHeight="1">
      <c r="B82" s="18"/>
      <c r="C82" s="10"/>
      <c r="D82" s="10"/>
      <c r="E82" s="22"/>
      <c r="F82" s="12">
        <f>+january!F82+february!F82+march!F82+april!F82+may!F82</f>
        <v>0</v>
      </c>
      <c r="G82" s="12">
        <f>+january!G82+february!G82+march!G82+april!G82+may!G82</f>
        <v>0</v>
      </c>
      <c r="H82" s="12"/>
      <c r="I82" s="13"/>
      <c r="J82" s="12">
        <f>+january!J82+february!J82+march!J82+april!J82+may!J82</f>
        <v>0</v>
      </c>
      <c r="K82" s="12">
        <f>+january!K82+february!K82+march!K82+april!K82+may!K82</f>
        <v>0</v>
      </c>
      <c r="L82" s="12"/>
      <c r="M82" s="12"/>
      <c r="N82" s="12">
        <f>+january!N82+february!N82+march!N82+april!N82+may!N82</f>
        <v>0</v>
      </c>
      <c r="O82" s="12">
        <f>+january!O82+february!O82+march!O82+april!O82+may!O82</f>
        <v>0</v>
      </c>
      <c r="P82" s="12"/>
      <c r="Q82" s="13"/>
      <c r="R82" s="12"/>
      <c r="S82" s="12"/>
      <c r="T82" s="14"/>
      <c r="U82" s="17"/>
    </row>
    <row r="83" spans="2:21" ht="24.95" customHeight="1">
      <c r="B83" s="18"/>
      <c r="C83" s="24" t="s">
        <v>77</v>
      </c>
      <c r="D83" s="10"/>
      <c r="E83" s="22"/>
      <c r="F83" s="12">
        <f t="shared" ref="F83:G83" si="38">SUM(F85:F103)</f>
        <v>3804768484.96</v>
      </c>
      <c r="G83" s="12">
        <f t="shared" si="38"/>
        <v>3279819059.4000001</v>
      </c>
      <c r="H83" s="12">
        <f t="shared" ref="H83:T83" si="39">SUM(H85:H103)</f>
        <v>524949425.56000006</v>
      </c>
      <c r="I83" s="12">
        <f t="shared" si="39"/>
        <v>0</v>
      </c>
      <c r="J83" s="12">
        <f t="shared" ref="J83:K83" si="40">SUM(J85:J103)</f>
        <v>1479855514.5599999</v>
      </c>
      <c r="K83" s="12">
        <f t="shared" si="40"/>
        <v>1361612442.76</v>
      </c>
      <c r="L83" s="12">
        <f>SUM(L85:L103)</f>
        <v>118243071.80000004</v>
      </c>
      <c r="M83" s="12">
        <f t="shared" si="39"/>
        <v>0</v>
      </c>
      <c r="N83" s="12">
        <f t="shared" ref="N83:O83" si="41">SUM(N85:N103)</f>
        <v>94795282.469999999</v>
      </c>
      <c r="O83" s="12">
        <f t="shared" si="41"/>
        <v>297874231.82999998</v>
      </c>
      <c r="P83" s="12">
        <f>SUM(P85:P103)</f>
        <v>-203078949.36000001</v>
      </c>
      <c r="Q83" s="12">
        <f t="shared" si="39"/>
        <v>0</v>
      </c>
      <c r="R83" s="12">
        <f t="shared" si="39"/>
        <v>5379419281.9900007</v>
      </c>
      <c r="S83" s="12">
        <f t="shared" si="39"/>
        <v>4939305733.9899998</v>
      </c>
      <c r="T83" s="14">
        <f t="shared" si="39"/>
        <v>440113548.0000003</v>
      </c>
      <c r="U83" s="17">
        <f>+S83/R83</f>
        <v>0.91818567675632257</v>
      </c>
    </row>
    <row r="84" spans="2:21" ht="24.95" customHeight="1">
      <c r="B84" s="18"/>
      <c r="C84" s="20" t="s">
        <v>78</v>
      </c>
      <c r="D84" s="20"/>
      <c r="E84" s="10"/>
      <c r="F84" s="12"/>
      <c r="G84" s="12"/>
      <c r="H84" s="12">
        <f t="shared" ref="H84:H89" si="42">+F84-G84</f>
        <v>0</v>
      </c>
      <c r="I84" s="13"/>
      <c r="J84" s="12"/>
      <c r="K84" s="12"/>
      <c r="L84" s="12">
        <f t="shared" ref="L84:L89" si="43">+J84-K84</f>
        <v>0</v>
      </c>
      <c r="M84" s="12"/>
      <c r="N84" s="12"/>
      <c r="O84" s="12"/>
      <c r="P84" s="12">
        <f t="shared" ref="P84:P89" si="44">+N84-O84</f>
        <v>0</v>
      </c>
      <c r="Q84" s="13"/>
      <c r="R84" s="12"/>
      <c r="S84" s="12"/>
      <c r="T84" s="14"/>
      <c r="U84" s="17"/>
    </row>
    <row r="85" spans="2:21" ht="24.95" customHeight="1">
      <c r="B85" s="18"/>
      <c r="C85" s="20"/>
      <c r="D85" s="20"/>
      <c r="E85" s="10" t="s">
        <v>79</v>
      </c>
      <c r="F85" s="12">
        <f>+january!F85+february!F85+march!F85+april!F85+may!F85+june!F85+july!F85+august!F85+september!F85+'october '!F85+november!F85+december!F85</f>
        <v>727258000</v>
      </c>
      <c r="G85" s="12">
        <f>+january!G85+february!G85+march!G85+april!G85+may!G85+june!G85+july!G85+august!G85+september!G85+'october '!G85+november!G85+december!G85</f>
        <v>474277108.36999989</v>
      </c>
      <c r="H85" s="12">
        <f t="shared" si="42"/>
        <v>252980891.63000011</v>
      </c>
      <c r="I85" s="13"/>
      <c r="J85" s="12">
        <f>+january!J85+february!J85+march!J85+april!J85+may!J85+june!J85+july!J85+august!J85+september!J85+'october '!J85+november!J85+december!J85</f>
        <v>51250000</v>
      </c>
      <c r="K85" s="12">
        <f>+january!K85+february!K85+march!K85+april!K85+may!K85+june!K85+july!K85+august!K85+september!K85+'october '!K85+november!K85+december!K85</f>
        <v>51250000</v>
      </c>
      <c r="L85" s="12">
        <f t="shared" si="43"/>
        <v>0</v>
      </c>
      <c r="M85" s="12"/>
      <c r="N85" s="12">
        <f>+january!N85+february!N85+march!N85+april!N85+may!N85+june!N85+july!N85+august!N85+september!N85+'october '!N85+november!N85+december!N85</f>
        <v>0</v>
      </c>
      <c r="O85" s="12">
        <f>+january!O85+february!O85+march!O85+april!O85+may!O85+june!O85+july!O85+august!O85+september!O85+'october '!O85+november!O85+december!O85</f>
        <v>217053535.37000003</v>
      </c>
      <c r="P85" s="12">
        <f t="shared" si="44"/>
        <v>-217053535.37000003</v>
      </c>
      <c r="Q85" s="13"/>
      <c r="R85" s="12">
        <f t="shared" ref="R85:S89" si="45">+F85+J85+N85</f>
        <v>778508000</v>
      </c>
      <c r="S85" s="12">
        <f t="shared" si="45"/>
        <v>742580643.73999989</v>
      </c>
      <c r="T85" s="14">
        <f>+R85-S85</f>
        <v>35927356.26000011</v>
      </c>
      <c r="U85" s="17">
        <f t="shared" si="34"/>
        <v>0.95385101211548229</v>
      </c>
    </row>
    <row r="86" spans="2:21" ht="27" customHeight="1">
      <c r="B86" s="18"/>
      <c r="C86" s="10"/>
      <c r="D86" s="10"/>
      <c r="E86" s="22" t="s">
        <v>80</v>
      </c>
      <c r="F86" s="12">
        <f>+january!F86+february!F86+march!F86+april!F86+may!F86+june!F86+july!F86+august!F86+september!F86+'october '!F86+november!F86+december!F86</f>
        <v>496151500</v>
      </c>
      <c r="G86" s="12">
        <f>+january!G86+february!G86+march!G86+april!G86+may!G86+june!G86+july!G86+august!G86+september!G86+'october '!G86+november!G86+december!G86</f>
        <v>442787813.75999999</v>
      </c>
      <c r="H86" s="12">
        <f t="shared" si="42"/>
        <v>53363686.24000001</v>
      </c>
      <c r="I86" s="13"/>
      <c r="J86" s="12">
        <f>+january!J86+february!J86+march!J86+april!J86+may!J86+june!J86+july!J86+august!J86+september!J86+'october '!J86+november!J86+december!J86</f>
        <v>5752000</v>
      </c>
      <c r="K86" s="12">
        <f>+january!K86+february!K86+march!K86+april!K86+may!K86+june!K86+july!K86+august!K86+september!K86+'october '!K86+november!K86+december!K86</f>
        <v>4684798.7300000004</v>
      </c>
      <c r="L86" s="12">
        <f t="shared" si="43"/>
        <v>1067201.2699999996</v>
      </c>
      <c r="M86" s="12"/>
      <c r="N86" s="12">
        <f>+january!N86+february!N86+march!N86+april!N86+may!N86+june!N86+july!N86+august!N86+september!N86+'october '!N86+november!N86+december!N86</f>
        <v>10809381.890000001</v>
      </c>
      <c r="O86" s="12">
        <f>+january!O86+february!O86+march!O86+april!O86+may!O86+june!O86+july!O86+august!O86+september!O86+'october '!O86+november!O86+december!O86</f>
        <v>10809381.890000001</v>
      </c>
      <c r="P86" s="12">
        <f t="shared" si="44"/>
        <v>0</v>
      </c>
      <c r="Q86" s="13"/>
      <c r="R86" s="12">
        <f t="shared" si="45"/>
        <v>512712881.88999999</v>
      </c>
      <c r="S86" s="12">
        <f t="shared" si="45"/>
        <v>458281994.38</v>
      </c>
      <c r="T86" s="14">
        <f>+R86-S86</f>
        <v>54430887.50999999</v>
      </c>
      <c r="U86" s="17">
        <f t="shared" si="34"/>
        <v>0.89383748793407947</v>
      </c>
    </row>
    <row r="87" spans="2:21" ht="27" customHeight="1">
      <c r="B87" s="18"/>
      <c r="C87" s="10"/>
      <c r="D87" s="10"/>
      <c r="E87" s="22" t="s">
        <v>81</v>
      </c>
      <c r="F87" s="12">
        <f>+january!F87+february!F87+march!F87+april!F87+may!F87+june!F87+july!F87+august!F87+september!F87+'october '!F87+november!F87+december!F87</f>
        <v>667085690</v>
      </c>
      <c r="G87" s="12">
        <f>+january!G87+february!G87+march!G87+april!G87+may!G87+june!G87+july!G87+august!G87+september!G87+'october '!G87+november!G87+december!G87</f>
        <v>451721562.21999997</v>
      </c>
      <c r="H87" s="12">
        <f t="shared" si="42"/>
        <v>215364127.78000003</v>
      </c>
      <c r="I87" s="13"/>
      <c r="J87" s="12">
        <f>+january!J87+february!J87+march!J87+april!J87+may!J87+june!J87+july!J87+august!J87+september!J87+'october '!J87+november!J87+december!J87</f>
        <v>2955000</v>
      </c>
      <c r="K87" s="12">
        <f>+january!K87+february!K87+march!K87+april!K87+may!K87+june!K87+july!K87+august!K87+september!K87+'october '!K87+november!K87+december!K87</f>
        <v>2797500</v>
      </c>
      <c r="L87" s="12">
        <f t="shared" si="43"/>
        <v>157500</v>
      </c>
      <c r="M87" s="12"/>
      <c r="N87" s="12">
        <f>+january!N87+february!N87+march!N87+april!N87+may!N87+june!N87+july!N87+august!N87+september!N87+'october '!N87+november!N87+december!N87</f>
        <v>7431296.3199999994</v>
      </c>
      <c r="O87" s="12">
        <f>+january!O87+february!O87+march!O87+april!O87+may!O87+june!O87+july!O87+august!O87+september!O87+'october '!O87+november!O87+december!O87</f>
        <v>7343419.6699999999</v>
      </c>
      <c r="P87" s="12">
        <f t="shared" si="44"/>
        <v>87876.649999999441</v>
      </c>
      <c r="Q87" s="13"/>
      <c r="R87" s="12">
        <f t="shared" si="45"/>
        <v>677471986.32000005</v>
      </c>
      <c r="S87" s="12">
        <f t="shared" si="45"/>
        <v>461862481.88999999</v>
      </c>
      <c r="T87" s="14">
        <f>+R87-S87</f>
        <v>215609504.43000007</v>
      </c>
      <c r="U87" s="17">
        <f t="shared" si="34"/>
        <v>0.68174402959274816</v>
      </c>
    </row>
    <row r="88" spans="2:21" ht="27" customHeight="1">
      <c r="B88" s="18"/>
      <c r="C88" s="10"/>
      <c r="D88" s="10"/>
      <c r="E88" s="22" t="s">
        <v>82</v>
      </c>
      <c r="F88" s="12">
        <f>+january!F88+february!F88+march!F88+april!F88+may!F88+june!F88+july!F88+august!F88+september!F88+'october '!F88+november!F88+december!F88</f>
        <v>71367077</v>
      </c>
      <c r="G88" s="12">
        <f>+january!G88+february!G88+march!G88+april!G88+may!G88+june!G88+july!G88+august!G88+september!G88+'october '!G88+november!G88+december!G88</f>
        <v>52907171.189999998</v>
      </c>
      <c r="H88" s="12">
        <f t="shared" si="42"/>
        <v>18459905.810000002</v>
      </c>
      <c r="I88" s="13"/>
      <c r="J88" s="12">
        <f>+january!J88+february!J88+march!J88+april!J88+may!J88+june!J88+july!J88+august!J88+september!J88+'october '!J88+november!J88+december!J88</f>
        <v>1550000</v>
      </c>
      <c r="K88" s="12">
        <f>+january!K88+february!K88+march!K88+april!K88+may!K88+june!K88+july!K88+august!K88+september!K88+'october '!K88+november!K88+december!K88</f>
        <v>775000</v>
      </c>
      <c r="L88" s="12">
        <f t="shared" si="43"/>
        <v>775000</v>
      </c>
      <c r="M88" s="12"/>
      <c r="N88" s="12">
        <f>+january!N88+february!N88+march!N88+april!N88+may!N88+june!N88+july!N88+august!N88+september!N88+'october '!N88+november!N88+december!N88</f>
        <v>0</v>
      </c>
      <c r="O88" s="12">
        <f>+january!O88+february!O88+march!O88+april!O88+may!O88+june!O88+july!O88+august!O88+september!O88+'october '!O88+november!O88+december!O88</f>
        <v>0</v>
      </c>
      <c r="P88" s="12">
        <f t="shared" si="44"/>
        <v>0</v>
      </c>
      <c r="Q88" s="13"/>
      <c r="R88" s="12">
        <f t="shared" si="45"/>
        <v>72917077</v>
      </c>
      <c r="S88" s="12">
        <f t="shared" si="45"/>
        <v>53682171.189999998</v>
      </c>
      <c r="T88" s="14">
        <f>+R88-S88</f>
        <v>19234905.810000002</v>
      </c>
      <c r="U88" s="17">
        <f t="shared" si="34"/>
        <v>0.73620849050216308</v>
      </c>
    </row>
    <row r="89" spans="2:21" ht="27" customHeight="1">
      <c r="B89" s="18"/>
      <c r="C89" s="10"/>
      <c r="D89" s="10"/>
      <c r="E89" s="22" t="s">
        <v>83</v>
      </c>
      <c r="F89" s="12">
        <f>+january!F89+february!F89+march!F89+april!F89+may!F89+june!F89+july!F89+august!F89+september!F89+'october '!F89+november!F89+december!F89</f>
        <v>35044904</v>
      </c>
      <c r="G89" s="12">
        <f>+january!G89+february!G89+march!G89+april!G89+may!G89+june!G89+july!G89+august!G89+september!G89+'october '!G89+november!G89+december!G89</f>
        <v>26063340.669999994</v>
      </c>
      <c r="H89" s="12">
        <f t="shared" si="42"/>
        <v>8981563.3300000057</v>
      </c>
      <c r="I89" s="13"/>
      <c r="J89" s="12">
        <f>+january!J89+february!J89+march!J89+april!J89+may!J89+june!J89+july!J89+august!J89+september!J89+'october '!J89+november!J89+december!J89</f>
        <v>450000</v>
      </c>
      <c r="K89" s="12">
        <f>+january!K89+february!K89+march!K89+april!K89+may!K89+june!K89+july!K89+august!K89+september!K89+'october '!K89+november!K89+december!K89</f>
        <v>450000</v>
      </c>
      <c r="L89" s="12">
        <f t="shared" si="43"/>
        <v>0</v>
      </c>
      <c r="M89" s="12"/>
      <c r="N89" s="12">
        <f>+january!N89+february!N89+march!N89+april!N89+may!N89+june!N89+july!N89+august!N89+september!N89+'october '!N89+november!N89+december!N89</f>
        <v>0</v>
      </c>
      <c r="O89" s="12">
        <f>+january!O89+february!O89+march!O89+april!O89+may!O89+june!O89+july!O89+august!O89+september!O89+'october '!O89+november!O89+december!O89</f>
        <v>0</v>
      </c>
      <c r="P89" s="12">
        <f t="shared" si="44"/>
        <v>0</v>
      </c>
      <c r="Q89" s="13"/>
      <c r="R89" s="12">
        <f t="shared" si="45"/>
        <v>35494904</v>
      </c>
      <c r="S89" s="12">
        <f t="shared" si="45"/>
        <v>26513340.669999994</v>
      </c>
      <c r="T89" s="14">
        <f>+R89-S89</f>
        <v>8981563.3300000057</v>
      </c>
      <c r="U89" s="17">
        <f t="shared" si="34"/>
        <v>0.74696189261421853</v>
      </c>
    </row>
    <row r="90" spans="2:21" ht="24.95" customHeight="1">
      <c r="B90" s="18"/>
      <c r="C90" s="10"/>
      <c r="D90" s="10"/>
      <c r="E90" s="22"/>
      <c r="F90" s="12">
        <f>+january!F90+february!F90+march!F90+april!F90+may!F90+june!F90+july!F90+august!F90+september!F90+'october '!F90+november!F90+december!F90</f>
        <v>0</v>
      </c>
      <c r="G90" s="12">
        <f>+january!G90+february!G90+march!G90+april!G90+may!G90+june!G90+july!G90+august!G90+september!G90+'october '!G90+november!G90+december!G90</f>
        <v>0</v>
      </c>
      <c r="H90" s="12"/>
      <c r="I90" s="13"/>
      <c r="J90" s="12">
        <f>+january!J90+february!J90+march!J90+april!J90+may!J90+june!J90+july!J90+august!J90+september!J90+'october '!J90+november!J90+december!J90</f>
        <v>0</v>
      </c>
      <c r="K90" s="12">
        <f>+january!K90+february!K90+march!K90+april!K90+may!K90+june!K90+july!K90+august!K90+september!K90+'october '!K90+november!K90+december!K90</f>
        <v>0</v>
      </c>
      <c r="L90" s="12"/>
      <c r="M90" s="12"/>
      <c r="N90" s="12">
        <f>+january!N90+february!N90+march!N90+april!N90+may!N90+june!N90+july!N90+august!N90+september!N90+'october '!N90+november!N90+december!N90</f>
        <v>0</v>
      </c>
      <c r="O90" s="12">
        <f>+january!O90+february!O90+march!O90+april!O90+may!O90+june!O90+july!O90+august!O90+september!O90+'october '!O90+november!O90+december!O90</f>
        <v>0</v>
      </c>
      <c r="P90" s="12"/>
      <c r="Q90" s="13"/>
      <c r="R90" s="12"/>
      <c r="S90" s="12"/>
      <c r="T90" s="14"/>
      <c r="U90" s="17"/>
    </row>
    <row r="91" spans="2:21" ht="24.95" customHeight="1">
      <c r="B91" s="18"/>
      <c r="C91" s="20" t="s">
        <v>84</v>
      </c>
      <c r="D91" s="20"/>
      <c r="E91" s="10"/>
      <c r="F91" s="12">
        <f>+january!F91+february!F91+march!F91+april!F91+may!F91+june!F91+july!F91+august!F91+september!F91+'october '!F91+november!F91+december!F91</f>
        <v>0</v>
      </c>
      <c r="G91" s="12">
        <f>+january!G91+february!G91+march!G91+april!G91+may!G91+june!G91+july!G91+august!G91+september!G91+'october '!G91+november!G91+december!G91</f>
        <v>0</v>
      </c>
      <c r="H91" s="12"/>
      <c r="I91" s="13"/>
      <c r="J91" s="12">
        <f>+january!J91+february!J91+march!J91+april!J91+may!J91+june!J91+july!J91+august!J91+september!J91+'october '!J91+november!J91+december!J91</f>
        <v>0</v>
      </c>
      <c r="K91" s="12">
        <f>+january!K91+february!K91+march!K91+april!K91+may!K91+june!K91+july!K91+august!K91+september!K91+'october '!K91+november!K91+december!K91</f>
        <v>0</v>
      </c>
      <c r="L91" s="12"/>
      <c r="M91" s="12"/>
      <c r="N91" s="12">
        <f>+january!N91+february!N91+march!N91+april!N91+may!N91+june!N91+july!N91+august!N91+september!N91+'october '!N91+november!N91+december!N91</f>
        <v>0</v>
      </c>
      <c r="O91" s="12">
        <f>+january!O91+february!O91+march!O91+april!O91+may!O91+june!O91+july!O91+august!O91+september!O91+'october '!O91+november!O91+december!O91</f>
        <v>0</v>
      </c>
      <c r="P91" s="12"/>
      <c r="Q91" s="13"/>
      <c r="R91" s="12"/>
      <c r="S91" s="12"/>
      <c r="T91" s="14"/>
      <c r="U91" s="17"/>
    </row>
    <row r="92" spans="2:21" ht="24.95" customHeight="1">
      <c r="B92" s="18"/>
      <c r="C92" s="20"/>
      <c r="D92" s="20"/>
      <c r="E92" s="10" t="s">
        <v>85</v>
      </c>
      <c r="F92" s="12">
        <f>+january!F92+february!F92+march!F92+april!F92+may!F92+june!F92+july!F92+august!F92+september!F92+'october '!F92+november!F92+december!F92</f>
        <v>323146720</v>
      </c>
      <c r="G92" s="12">
        <f>+january!G92+february!G92+march!G92+april!G92+may!G92+june!G92+july!G92+august!G92+september!G92+'october '!G92+november!G92+december!G92</f>
        <v>322064444.44000006</v>
      </c>
      <c r="H92" s="12">
        <f t="shared" ref="H92:H98" si="46">+F92-G92</f>
        <v>1082275.5599999428</v>
      </c>
      <c r="I92" s="13"/>
      <c r="J92" s="12">
        <f>+january!J92+february!J92+march!J92+april!J92+may!J92+june!J92+july!J92+august!J92+september!J92+'october '!J92+november!J92+december!J92</f>
        <v>439037764</v>
      </c>
      <c r="K92" s="12">
        <f>+january!K92+february!K92+march!K92+april!K92+may!K92+june!K92+july!K92+august!K92+september!K92+'october '!K92+november!K92+december!K92</f>
        <v>439037764</v>
      </c>
      <c r="L92" s="12">
        <f t="shared" ref="L92:L98" si="47">+J92-K92</f>
        <v>0</v>
      </c>
      <c r="M92" s="12"/>
      <c r="N92" s="12">
        <f>+january!N92+february!N92+march!N92+april!N92+may!N92+june!N92+july!N92+august!N92+september!N92+'october '!N92+november!N92+december!N92</f>
        <v>28721802.66</v>
      </c>
      <c r="O92" s="12">
        <f>+january!O92+february!O92+march!O92+april!O92+may!O92+june!O92+july!O92+august!O92+september!O92+'october '!O92+november!O92+december!O92</f>
        <v>18327285.289999999</v>
      </c>
      <c r="P92" s="12">
        <f t="shared" ref="P92:P98" si="48">+N92-O92</f>
        <v>10394517.370000001</v>
      </c>
      <c r="Q92" s="13"/>
      <c r="R92" s="12">
        <f t="shared" ref="R92:S97" si="49">+F92+J92+N92</f>
        <v>790906286.65999997</v>
      </c>
      <c r="S92" s="12">
        <f t="shared" si="49"/>
        <v>779429493.73000002</v>
      </c>
      <c r="T92" s="14">
        <f t="shared" ref="T92:T98" si="50">+R92-S92</f>
        <v>11476792.929999948</v>
      </c>
      <c r="U92" s="17">
        <f t="shared" si="34"/>
        <v>0.98548906093733746</v>
      </c>
    </row>
    <row r="93" spans="2:21" ht="28.5" customHeight="1">
      <c r="B93" s="18"/>
      <c r="C93" s="10"/>
      <c r="D93" s="10"/>
      <c r="E93" s="22" t="s">
        <v>86</v>
      </c>
      <c r="F93" s="12">
        <f>+january!F93+february!F93+march!F93+april!F93+may!F93+june!F93+july!F93+august!F93+september!F93+'october '!F93+november!F93+december!F93</f>
        <v>560239051.39999998</v>
      </c>
      <c r="G93" s="12">
        <f>+january!G93+february!G93+march!G93+april!G93+may!G93+june!G93+july!G93+august!G93+september!G93+'october '!G93+november!G93+december!G93</f>
        <v>555477521.75999999</v>
      </c>
      <c r="H93" s="12">
        <f t="shared" si="46"/>
        <v>4761529.6399999857</v>
      </c>
      <c r="I93" s="13"/>
      <c r="J93" s="12">
        <f>+january!J93+february!J93+march!J93+april!J93+may!J93+june!J93+july!J93+august!J93+september!J93+'october '!J93+november!J93+december!J93</f>
        <v>103421027.56</v>
      </c>
      <c r="K93" s="12">
        <f>+january!K93+february!K93+march!K93+april!K93+may!K93+june!K93+july!K93+august!K93+september!K93+'october '!K93+november!K93+december!K93</f>
        <v>55432056.560000002</v>
      </c>
      <c r="L93" s="12">
        <f t="shared" si="47"/>
        <v>47988971</v>
      </c>
      <c r="M93" s="12"/>
      <c r="N93" s="12">
        <f>+january!N93+february!N93+march!N93+april!N93+may!N93+june!N93+july!N93+august!N93+september!N93+'october '!N93+november!N93+december!N93</f>
        <v>42007481.600000001</v>
      </c>
      <c r="O93" s="12">
        <f>+january!O93+february!O93+march!O93+april!O93+may!O93+june!O93+july!O93+august!O93+september!O93+'october '!O93+november!O93+december!O93</f>
        <v>42007480.829999998</v>
      </c>
      <c r="P93" s="12">
        <f t="shared" si="48"/>
        <v>0.77000000327825546</v>
      </c>
      <c r="Q93" s="13"/>
      <c r="R93" s="12">
        <f t="shared" si="49"/>
        <v>705667560.56000006</v>
      </c>
      <c r="S93" s="12">
        <f t="shared" si="49"/>
        <v>652917059.14999998</v>
      </c>
      <c r="T93" s="14">
        <f t="shared" si="50"/>
        <v>52750501.410000086</v>
      </c>
      <c r="U93" s="17">
        <f t="shared" si="34"/>
        <v>0.92524737658602496</v>
      </c>
    </row>
    <row r="94" spans="2:21" ht="28.5" customHeight="1">
      <c r="B94" s="18"/>
      <c r="C94" s="10"/>
      <c r="D94" s="10"/>
      <c r="E94" s="22" t="s">
        <v>87</v>
      </c>
      <c r="F94" s="12">
        <f>+january!F94+february!F94+march!F94+april!F94+may!F94+june!F94+july!F94+august!F94+september!F94+'october '!F94+november!F94+december!F94</f>
        <v>210700313</v>
      </c>
      <c r="G94" s="12">
        <f>+january!G94+february!G94+march!G94+april!G94+may!G94+june!G94+july!G94+august!G94+september!G94+'october '!G94+november!G94+december!G94</f>
        <v>196071009.59999996</v>
      </c>
      <c r="H94" s="12">
        <f t="shared" si="46"/>
        <v>14629303.400000036</v>
      </c>
      <c r="I94" s="13"/>
      <c r="J94" s="12">
        <f>+january!J94+february!J94+march!J94+april!J94+may!J94+june!J94+july!J94+august!J94+september!J94+'october '!J94+november!J94+december!J94</f>
        <v>13114000</v>
      </c>
      <c r="K94" s="12">
        <f>+january!K94+february!K94+march!K94+april!K94+may!K94+june!K94+july!K94+august!K94+september!K94+'october '!K94+november!K94+december!K94</f>
        <v>12901405.92</v>
      </c>
      <c r="L94" s="12">
        <f t="shared" si="47"/>
        <v>212594.08000000007</v>
      </c>
      <c r="M94" s="12"/>
      <c r="N94" s="12">
        <f>+january!N94+february!N94+march!N94+april!N94+may!N94+june!N94+july!N94+august!N94+september!N94+'october '!N94+november!N94+december!N94</f>
        <v>0</v>
      </c>
      <c r="O94" s="12">
        <f>+january!O94+february!O94+march!O94+april!O94+may!O94+june!O94+july!O94+august!O94+september!O94+'october '!O94+november!O94+december!O94</f>
        <v>0</v>
      </c>
      <c r="P94" s="12">
        <f t="shared" si="48"/>
        <v>0</v>
      </c>
      <c r="Q94" s="13"/>
      <c r="R94" s="12">
        <f t="shared" si="49"/>
        <v>223814313</v>
      </c>
      <c r="S94" s="12">
        <f t="shared" si="49"/>
        <v>208972415.51999995</v>
      </c>
      <c r="T94" s="14">
        <f t="shared" si="50"/>
        <v>14841897.480000049</v>
      </c>
      <c r="U94" s="17">
        <f t="shared" si="34"/>
        <v>0.93368655792804434</v>
      </c>
    </row>
    <row r="95" spans="2:21" ht="28.5" customHeight="1">
      <c r="B95" s="18"/>
      <c r="C95" s="10"/>
      <c r="D95" s="10"/>
      <c r="E95" s="22" t="s">
        <v>88</v>
      </c>
      <c r="F95" s="12">
        <f>+january!F95+february!F95+march!F95+april!F95+may!F95+june!F95+july!F95+august!F95+september!F95+'october '!F95+november!F95+december!F95</f>
        <v>44999750</v>
      </c>
      <c r="G95" s="12">
        <f>+january!G95+february!G95+march!G95+april!G95+may!G95+june!G95+july!G95+august!G95+september!G95+'october '!G95+november!G95+december!G95</f>
        <v>43409506.339999996</v>
      </c>
      <c r="H95" s="12">
        <f t="shared" si="46"/>
        <v>1590243.6600000039</v>
      </c>
      <c r="I95" s="13"/>
      <c r="J95" s="12">
        <f>+january!J95+february!J95+march!J95+april!J95+may!J95+june!J95+july!J95+august!J95+september!J95+'october '!J95+november!J95+december!J95</f>
        <v>410000</v>
      </c>
      <c r="K95" s="12">
        <f>+january!K95+february!K95+march!K95+april!K95+may!K95+june!K95+july!K95+august!K95+september!K95+'october '!K95+november!K95+december!K95</f>
        <v>410000</v>
      </c>
      <c r="L95" s="12">
        <f t="shared" si="47"/>
        <v>0</v>
      </c>
      <c r="M95" s="12"/>
      <c r="N95" s="12">
        <f>+january!N95+february!N95+march!N95+april!N95+may!N95+june!N95+july!N95+august!N95+september!N95+'october '!N95+november!N95+december!N95</f>
        <v>0</v>
      </c>
      <c r="O95" s="12">
        <f>+january!O95+february!O95+march!O95+april!O95+may!O95+june!O95+july!O95+august!O95+september!O95+'october '!O95+november!O95+december!O95</f>
        <v>0</v>
      </c>
      <c r="P95" s="12">
        <f t="shared" si="48"/>
        <v>0</v>
      </c>
      <c r="Q95" s="13"/>
      <c r="R95" s="12">
        <f t="shared" si="49"/>
        <v>45409750</v>
      </c>
      <c r="S95" s="12">
        <f t="shared" si="49"/>
        <v>43819506.339999996</v>
      </c>
      <c r="T95" s="14">
        <f t="shared" si="50"/>
        <v>1590243.6600000039</v>
      </c>
      <c r="U95" s="17">
        <f t="shared" si="34"/>
        <v>0.96498012739554828</v>
      </c>
    </row>
    <row r="96" spans="2:21" ht="24.95" customHeight="1">
      <c r="B96" s="18"/>
      <c r="C96" s="10"/>
      <c r="D96" s="10"/>
      <c r="E96" s="22" t="s">
        <v>89</v>
      </c>
      <c r="F96" s="12">
        <f>+january!F96+february!F96+march!F96+april!F96+may!F96+june!F96+july!F96+august!F96+september!F96+'october '!F96+november!F96+december!F96</f>
        <v>60323394.420000002</v>
      </c>
      <c r="G96" s="12">
        <f>+january!G96+february!G96+march!G96+april!G96+may!G96+june!G96+july!G96+august!G96+september!G96+'october '!G96+november!G96+december!G96</f>
        <v>57349007.510000005</v>
      </c>
      <c r="H96" s="12">
        <f t="shared" si="46"/>
        <v>2974386.9099999964</v>
      </c>
      <c r="I96" s="13"/>
      <c r="J96" s="12">
        <f>+january!J96+february!J96+march!J96+april!J96+may!J96+june!J96+july!J96+august!J96+september!J96+'october '!J96+november!J96+december!J96</f>
        <v>18511500</v>
      </c>
      <c r="K96" s="12">
        <f>+january!K96+february!K96+march!K96+april!K96+may!K96+june!K96+july!K96+august!K96+september!K96+'october '!K96+november!K96+december!K96</f>
        <v>14533858.059999999</v>
      </c>
      <c r="L96" s="12">
        <f t="shared" si="47"/>
        <v>3977641.9400000013</v>
      </c>
      <c r="M96" s="12"/>
      <c r="N96" s="12">
        <f>+january!N96+february!N96+march!N96+april!N96+may!N96+june!N96+july!N96+august!N96+september!N96+'october '!N96+november!N96+december!N96</f>
        <v>249252</v>
      </c>
      <c r="O96" s="12">
        <f>+january!O96+february!O96+march!O96+april!O96+may!O96+june!O96+july!O96+august!O96+september!O96+'october '!O96+november!O96+december!O96</f>
        <v>249252</v>
      </c>
      <c r="P96" s="12">
        <f t="shared" si="48"/>
        <v>0</v>
      </c>
      <c r="Q96" s="13"/>
      <c r="R96" s="12">
        <f t="shared" si="49"/>
        <v>79084146.420000002</v>
      </c>
      <c r="S96" s="12">
        <f t="shared" si="49"/>
        <v>72132117.570000008</v>
      </c>
      <c r="T96" s="14">
        <f t="shared" si="50"/>
        <v>6952028.849999994</v>
      </c>
      <c r="U96" s="17">
        <f t="shared" si="34"/>
        <v>0.91209326818703751</v>
      </c>
    </row>
    <row r="97" spans="2:25" ht="24.95" customHeight="1">
      <c r="B97" s="18"/>
      <c r="C97" s="10"/>
      <c r="D97" s="10"/>
      <c r="E97" s="28" t="s">
        <v>90</v>
      </c>
      <c r="F97" s="12">
        <f>+january!F97+february!F97+march!F97+april!F97+may!F97+june!F97+july!F97+august!F97+september!F97+'october '!F97+november!F97+december!F97</f>
        <v>35503000</v>
      </c>
      <c r="G97" s="12">
        <f>+january!G97+february!G97+march!G97+april!G97+may!G97+june!G97+july!G97+august!G97+september!G97+'october '!G97+november!G97+december!G97</f>
        <v>32856171.740000002</v>
      </c>
      <c r="H97" s="12">
        <f t="shared" si="46"/>
        <v>2646828.2599999979</v>
      </c>
      <c r="I97" s="13"/>
      <c r="J97" s="12">
        <f>+january!J97+february!J97+march!J97+april!J97+may!J97+june!J97+july!J97+august!J97+september!J97+'october '!J97+november!J97+december!J97</f>
        <v>265000</v>
      </c>
      <c r="K97" s="12">
        <f>+january!K97+february!K97+march!K97+april!K97+may!K97+june!K97+july!K97+august!K97+september!K97+'october '!K97+november!K97+december!K97</f>
        <v>265000</v>
      </c>
      <c r="L97" s="12">
        <f t="shared" si="47"/>
        <v>0</v>
      </c>
      <c r="M97" s="12"/>
      <c r="N97" s="12">
        <f>+january!N97+february!N97+march!N97+april!N97+may!N97+june!N97+july!N97+august!N97+september!N97+'october '!N97+november!N97+december!N97</f>
        <v>0</v>
      </c>
      <c r="O97" s="12">
        <f>+january!O97+february!O97+march!O97+april!O97+may!O97+june!O97+july!O97+august!O97+september!O97+'october '!O97+november!O97+december!O97</f>
        <v>0</v>
      </c>
      <c r="P97" s="12">
        <f t="shared" si="48"/>
        <v>0</v>
      </c>
      <c r="Q97" s="13"/>
      <c r="R97" s="12">
        <f t="shared" si="49"/>
        <v>35768000</v>
      </c>
      <c r="S97" s="12">
        <f t="shared" si="49"/>
        <v>33121171.740000002</v>
      </c>
      <c r="T97" s="14">
        <f t="shared" si="50"/>
        <v>2646828.2599999979</v>
      </c>
      <c r="U97" s="17">
        <f t="shared" si="34"/>
        <v>0.92600010456273774</v>
      </c>
    </row>
    <row r="98" spans="2:25" ht="28.5" customHeight="1">
      <c r="B98" s="18"/>
      <c r="C98" s="10"/>
      <c r="D98" s="10"/>
      <c r="E98" s="43" t="s">
        <v>91</v>
      </c>
      <c r="F98" s="12">
        <f>+january!F98+february!F98+march!F98+april!F98+may!F98+june!F98+july!F98+august!F98+september!F98+'october '!F98+november!F98+december!F98</f>
        <v>48651000</v>
      </c>
      <c r="G98" s="12">
        <f>+january!G98+february!G98+march!G98+april!G98+may!G98+june!G98+july!G98+august!G98+september!G98+'october '!G98+november!G98+december!G98</f>
        <v>43434885.75</v>
      </c>
      <c r="H98" s="12">
        <f t="shared" si="46"/>
        <v>5216114.25</v>
      </c>
      <c r="I98" s="13"/>
      <c r="J98" s="12">
        <f>+january!J98+february!J98+march!J98+april!J98+may!J98+june!J98+july!J98+august!J98+september!J98+'october '!J98+november!J98+december!J98</f>
        <v>355000</v>
      </c>
      <c r="K98" s="12">
        <f>+january!K98+february!K98+march!K98+april!K98+may!K98+june!K98+july!K98+august!K98+september!K98+'october '!K98+november!K98+december!K98</f>
        <v>355000</v>
      </c>
      <c r="L98" s="12">
        <f t="shared" si="47"/>
        <v>0</v>
      </c>
      <c r="M98" s="12"/>
      <c r="N98" s="12">
        <f>+january!N98+february!N98+march!N98+april!N98+may!N98+june!N98+july!N98+august!N98+september!N98+'october '!N98+november!N98+december!N98</f>
        <v>1952000</v>
      </c>
      <c r="O98" s="12">
        <f>+january!O98+february!O98+march!O98+april!O98+may!O98+june!O98+july!O98+august!O98+september!O98+'october '!O98+november!O98+december!O98</f>
        <v>1809543.1500000001</v>
      </c>
      <c r="P98" s="12">
        <f t="shared" si="48"/>
        <v>142456.84999999986</v>
      </c>
      <c r="Q98" s="13"/>
      <c r="R98" s="12">
        <f>+F98+J98+N98</f>
        <v>50958000</v>
      </c>
      <c r="S98" s="12">
        <f>+G98+K98+O98</f>
        <v>45599428.899999999</v>
      </c>
      <c r="T98" s="14">
        <f t="shared" si="50"/>
        <v>5358571.1000000015</v>
      </c>
      <c r="U98" s="17">
        <f t="shared" si="34"/>
        <v>0.89484337886102272</v>
      </c>
    </row>
    <row r="99" spans="2:25" ht="24.95" customHeight="1">
      <c r="B99" s="18"/>
      <c r="C99" s="10"/>
      <c r="D99" s="10"/>
      <c r="E99" s="43"/>
      <c r="F99" s="12">
        <f>+january!F99+february!F99+march!F99+april!F99+may!F99+june!F99+july!F99+august!F99+september!F99+'october '!F99+november!F99+december!F99</f>
        <v>0</v>
      </c>
      <c r="G99" s="12">
        <f>+january!G99+february!G99+march!G99+april!G99+may!G99+june!G99+july!G99+august!G99+september!G99+'october '!G99+november!G99+december!G99</f>
        <v>0</v>
      </c>
      <c r="H99" s="12"/>
      <c r="I99" s="13"/>
      <c r="J99" s="12">
        <f>+january!J99+february!J99+march!J99+april!J99+may!J99+june!J99+july!J99+august!J99+september!J99+'october '!J99+november!J99+december!J99</f>
        <v>0</v>
      </c>
      <c r="K99" s="12">
        <f>+january!K99+february!K99+march!K99+april!K99+may!K99+june!K99+july!K99+august!K99+september!K99+'october '!K99+november!K99+december!K99</f>
        <v>0</v>
      </c>
      <c r="L99" s="12"/>
      <c r="M99" s="12"/>
      <c r="N99" s="12">
        <f>+january!N99+february!N99+march!N99+april!N99+may!N99+june!N99+july!N99+august!N99+september!N99+'october '!N99+november!N99+december!N99</f>
        <v>0</v>
      </c>
      <c r="O99" s="12">
        <f>+january!O99+february!O99+march!O99+april!O99+may!O99+june!O99+july!O99+august!O99+september!O99+'october '!O99+november!O99+december!O99</f>
        <v>0</v>
      </c>
      <c r="P99" s="12"/>
      <c r="Q99" s="13"/>
      <c r="R99" s="12"/>
      <c r="S99" s="12"/>
      <c r="T99" s="14"/>
      <c r="U99" s="17"/>
    </row>
    <row r="100" spans="2:25" ht="24.95" customHeight="1">
      <c r="B100" s="18"/>
      <c r="C100" s="20" t="s">
        <v>92</v>
      </c>
      <c r="D100" s="20"/>
      <c r="E100" s="10"/>
      <c r="F100" s="12">
        <f>+january!F100+february!F100+march!F100+april!F100+may!F100+june!F100+july!F100+august!F100+september!F100+'october '!F100+november!F100+december!F100</f>
        <v>0</v>
      </c>
      <c r="G100" s="12">
        <f>+january!G100+february!G100+march!G100+april!G100+may!G100+june!G100+july!G100+august!G100+september!G100+'october '!G100+november!G100+december!G100</f>
        <v>0</v>
      </c>
      <c r="H100" s="12"/>
      <c r="I100" s="13"/>
      <c r="J100" s="12">
        <f>+january!J100+february!J100+march!J100+april!J100+may!J100+june!J100+july!J100+august!J100+september!J100+'october '!J100+november!J100+december!J100</f>
        <v>0</v>
      </c>
      <c r="K100" s="12">
        <f>+january!K100+february!K100+march!K100+april!K100+may!K100+june!K100+july!K100+august!K100+september!K100+'october '!K100+november!K100+december!K100</f>
        <v>0</v>
      </c>
      <c r="L100" s="12"/>
      <c r="M100" s="12"/>
      <c r="N100" s="12">
        <f>+january!N100+february!N100+march!N100+april!N100+may!N100+june!N100+july!N100+august!N100+september!N100+'october '!N100+november!N100+december!N100</f>
        <v>0</v>
      </c>
      <c r="O100" s="12">
        <f>+january!O100+february!O100+march!O100+april!O100+may!O100+june!O100+july!O100+august!O100+september!O100+'october '!O100+november!O100+december!O100</f>
        <v>0</v>
      </c>
      <c r="P100" s="12"/>
      <c r="Q100" s="13"/>
      <c r="R100" s="12"/>
      <c r="S100" s="12"/>
      <c r="T100" s="14"/>
      <c r="U100" s="17"/>
    </row>
    <row r="101" spans="2:25" ht="24.95" customHeight="1">
      <c r="B101" s="18"/>
      <c r="C101" s="20"/>
      <c r="D101" s="20"/>
      <c r="E101" s="10" t="s">
        <v>93</v>
      </c>
      <c r="F101" s="12">
        <f>+january!F101+february!F101+march!F101+april!F101+may!F101+june!F101+july!F101+august!F101+september!F101+'october '!F101+november!F101+december!F101</f>
        <v>213704000</v>
      </c>
      <c r="G101" s="12">
        <f>+january!G101+february!G101+march!G101+april!G101+may!G101+june!G101+july!G101+august!G101+september!G101+'october '!G101+november!G101+december!G101</f>
        <v>213284976.53999999</v>
      </c>
      <c r="H101" s="12">
        <f>+F101-G101</f>
        <v>419023.46000000834</v>
      </c>
      <c r="I101" s="13"/>
      <c r="J101" s="12">
        <f>+january!J101+february!J101+march!J101+april!J101+may!J101+june!J101+july!J101+august!J101+september!J101+'october '!J101+november!J101+december!J101</f>
        <v>717762913</v>
      </c>
      <c r="K101" s="12">
        <f>+january!K101+february!K101+march!K101+april!K101+may!K101+june!K101+july!K101+august!K101+september!K101+'october '!K101+november!K101+december!K101</f>
        <v>717645524.05999994</v>
      </c>
      <c r="L101" s="12">
        <f>+J101-K101</f>
        <v>117388.94000005722</v>
      </c>
      <c r="M101" s="12"/>
      <c r="N101" s="12">
        <f>+january!N101+february!N101+march!N101+april!N101+may!N101+june!N101+july!N101+august!N101+september!N101+'october '!N101+november!N101+december!N101</f>
        <v>3624068</v>
      </c>
      <c r="O101" s="12">
        <f>+january!O101+february!O101+march!O101+april!O101+may!O101+june!O101+july!O101+august!O101+september!O101+'october '!O101+november!O101+december!O101</f>
        <v>274333.63</v>
      </c>
      <c r="P101" s="12">
        <f>+N101-O101</f>
        <v>3349734.37</v>
      </c>
      <c r="Q101" s="13"/>
      <c r="R101" s="12">
        <f t="shared" ref="R101:S103" si="51">+F101+J101+N101</f>
        <v>935090981</v>
      </c>
      <c r="S101" s="12">
        <f t="shared" si="51"/>
        <v>931204834.2299999</v>
      </c>
      <c r="T101" s="14">
        <f>+R101-S101</f>
        <v>3886146.7700001001</v>
      </c>
      <c r="U101" s="17">
        <f t="shared" si="34"/>
        <v>0.99584409768785898</v>
      </c>
    </row>
    <row r="102" spans="2:25" ht="29.25" customHeight="1">
      <c r="B102" s="18"/>
      <c r="C102" s="10"/>
      <c r="D102" s="10"/>
      <c r="E102" s="22" t="s">
        <v>94</v>
      </c>
      <c r="F102" s="12">
        <f>+january!F102+february!F102+march!F102+april!F102+may!F102+june!F102+july!F102+august!F102+september!F102+'october '!F102+november!F102+december!F102</f>
        <v>286033141</v>
      </c>
      <c r="G102" s="12">
        <f>+january!G102+february!G102+march!G102+april!G102+may!G102+june!G102+july!G102+august!G102+september!G102+'october '!G102+november!G102+december!G102</f>
        <v>347265679.61000001</v>
      </c>
      <c r="H102" s="12">
        <f>+F102-G102</f>
        <v>-61232538.610000014</v>
      </c>
      <c r="I102" s="13"/>
      <c r="J102" s="12">
        <f>+january!J102+february!J102+march!J102+april!J102+may!J102+june!J102+july!J102+august!J102+september!J102+'october '!J102+november!J102+december!J102</f>
        <v>124136310</v>
      </c>
      <c r="K102" s="12">
        <f>+january!K102+february!K102+march!K102+april!K102+may!K102+june!K102+july!K102+august!K102+september!K102+'october '!K102+november!K102+december!K102</f>
        <v>60189535.430000007</v>
      </c>
      <c r="L102" s="12">
        <f>+J102-K102</f>
        <v>63946774.569999993</v>
      </c>
      <c r="M102" s="12"/>
      <c r="N102" s="12">
        <f>+january!N102+february!N102+march!N102+april!N102+may!N102+june!N102+july!N102+august!N102+september!N102+'october '!N102+november!N102+december!N102</f>
        <v>0</v>
      </c>
      <c r="O102" s="12">
        <f>+january!O102+february!O102+march!O102+april!O102+may!O102+june!O102+july!O102+august!O102+september!O102+'october '!O102+november!O102+december!O102</f>
        <v>0</v>
      </c>
      <c r="P102" s="12">
        <f>+N102-O102</f>
        <v>0</v>
      </c>
      <c r="Q102" s="13"/>
      <c r="R102" s="12">
        <f t="shared" si="51"/>
        <v>410169451</v>
      </c>
      <c r="S102" s="12">
        <f t="shared" si="51"/>
        <v>407455215.04000002</v>
      </c>
      <c r="T102" s="14">
        <f>+R102-S102</f>
        <v>2714235.9599999785</v>
      </c>
      <c r="U102" s="17">
        <f t="shared" si="34"/>
        <v>0.9933826472123104</v>
      </c>
    </row>
    <row r="103" spans="2:25" ht="29.25" customHeight="1">
      <c r="B103" s="18"/>
      <c r="C103" s="10"/>
      <c r="D103" s="10"/>
      <c r="E103" s="22" t="s">
        <v>95</v>
      </c>
      <c r="F103" s="12">
        <f>+january!F103+february!F103+march!F103+april!F103+may!F103+june!F103+july!F103+august!F103+september!F103+'october '!F103+november!F103+december!F103</f>
        <v>24560944.140000001</v>
      </c>
      <c r="G103" s="12">
        <f>+january!G103+february!G103+march!G103+april!G103+may!G103+june!G103+july!G103+august!G103+september!G103+'october '!G103+november!G103+december!G103</f>
        <v>20848859.900000002</v>
      </c>
      <c r="H103" s="12">
        <f>+F103-G103</f>
        <v>3712084.2399999984</v>
      </c>
      <c r="I103" s="13"/>
      <c r="J103" s="12">
        <f>+january!J103+february!J103+march!J103+april!J103+may!J103+june!J103+july!J103+august!J103+september!J103+'october '!J103+november!J103+december!J103</f>
        <v>885000</v>
      </c>
      <c r="K103" s="12">
        <f>+january!K103+february!K103+march!K103+april!K103+may!K103+june!K103+july!K103+august!K103+september!K103+'october '!K103+november!K103+december!K103</f>
        <v>885000</v>
      </c>
      <c r="L103" s="12">
        <f>+J103-K103</f>
        <v>0</v>
      </c>
      <c r="M103" s="12"/>
      <c r="N103" s="12">
        <f>+january!N103+february!N103+march!N103+april!N103+may!N103+june!N103+july!N103+august!N103+september!N103+'october '!N103+november!N103+december!N103</f>
        <v>0</v>
      </c>
      <c r="O103" s="12">
        <f>+january!O103+february!O103+march!O103+april!O103+may!O103+june!O103+july!O103+august!O103+september!O103+'october '!O103+november!O103+december!O103</f>
        <v>0</v>
      </c>
      <c r="P103" s="12">
        <f>+N103-O103</f>
        <v>0</v>
      </c>
      <c r="Q103" s="13"/>
      <c r="R103" s="12">
        <f t="shared" si="51"/>
        <v>25445944.140000001</v>
      </c>
      <c r="S103" s="12">
        <f t="shared" si="51"/>
        <v>21733859.900000002</v>
      </c>
      <c r="T103" s="14">
        <f>+R103-S103</f>
        <v>3712084.2399999984</v>
      </c>
      <c r="U103" s="17">
        <f t="shared" si="34"/>
        <v>0.85411882461202326</v>
      </c>
    </row>
    <row r="104" spans="2:25" ht="27.75" customHeight="1">
      <c r="B104" s="18"/>
      <c r="C104" s="10"/>
      <c r="D104" s="10"/>
      <c r="E104" s="31" t="s">
        <v>51</v>
      </c>
      <c r="F104" s="32">
        <f t="shared" ref="F104:S104" si="52">SUM(F85:F103)</f>
        <v>3804768484.96</v>
      </c>
      <c r="G104" s="32">
        <f t="shared" si="52"/>
        <v>3279819059.4000001</v>
      </c>
      <c r="H104" s="32">
        <f t="shared" si="52"/>
        <v>524949425.56000006</v>
      </c>
      <c r="I104" s="32">
        <f t="shared" si="52"/>
        <v>0</v>
      </c>
      <c r="J104" s="32">
        <f t="shared" ref="J104:K104" si="53">SUM(J85:J103)</f>
        <v>1479855514.5599999</v>
      </c>
      <c r="K104" s="32">
        <f t="shared" si="53"/>
        <v>1361612442.76</v>
      </c>
      <c r="L104" s="32">
        <f>SUM(L85:L103)</f>
        <v>118243071.80000004</v>
      </c>
      <c r="M104" s="32">
        <f t="shared" si="52"/>
        <v>0</v>
      </c>
      <c r="N104" s="32">
        <f t="shared" ref="N104:O104" si="54">SUM(N85:N103)</f>
        <v>94795282.469999999</v>
      </c>
      <c r="O104" s="32">
        <f t="shared" si="54"/>
        <v>297874231.82999998</v>
      </c>
      <c r="P104" s="32">
        <f>SUM(P85:P103)</f>
        <v>-203078949.36000001</v>
      </c>
      <c r="Q104" s="32">
        <f t="shared" si="52"/>
        <v>0</v>
      </c>
      <c r="R104" s="32">
        <f t="shared" si="52"/>
        <v>5379419281.9900007</v>
      </c>
      <c r="S104" s="32">
        <f t="shared" si="52"/>
        <v>4939305733.9899998</v>
      </c>
      <c r="T104" s="34">
        <f>SUM(T85:T103)</f>
        <v>440113548.0000003</v>
      </c>
      <c r="U104" s="17">
        <f t="shared" si="34"/>
        <v>0.91818567675632257</v>
      </c>
    </row>
    <row r="105" spans="2:25" ht="24.95" customHeight="1">
      <c r="B105" s="18"/>
      <c r="C105" s="10"/>
      <c r="D105" s="10"/>
      <c r="E105" s="22"/>
      <c r="F105" s="12">
        <f>+january!F105+february!F105+march!F105+april!F105+may!F105</f>
        <v>0</v>
      </c>
      <c r="G105" s="12">
        <f>+january!G105+february!G105+march!G105+april!G105+may!G105</f>
        <v>0</v>
      </c>
      <c r="H105" s="12"/>
      <c r="I105" s="13"/>
      <c r="J105" s="12">
        <f>+january!J105+february!J105+march!J105+april!J105+may!J105</f>
        <v>0</v>
      </c>
      <c r="K105" s="12">
        <f>+january!K105+february!K105+march!K105+april!K105+may!K105</f>
        <v>0</v>
      </c>
      <c r="L105" s="12"/>
      <c r="M105" s="12"/>
      <c r="N105" s="12">
        <f>+january!N105+february!N105+march!N105+april!N105+may!N105</f>
        <v>0</v>
      </c>
      <c r="O105" s="12">
        <f>+january!O105+february!O105+march!O105+april!O105+may!O105</f>
        <v>0</v>
      </c>
      <c r="P105" s="12"/>
      <c r="Q105" s="13"/>
      <c r="R105" s="12"/>
      <c r="S105" s="12"/>
      <c r="T105" s="14"/>
      <c r="U105" s="17"/>
      <c r="Y105" s="2" t="s">
        <v>96</v>
      </c>
    </row>
    <row r="106" spans="2:25" ht="24.95" customHeight="1">
      <c r="B106" s="18"/>
      <c r="C106" s="24" t="s">
        <v>97</v>
      </c>
      <c r="D106" s="10"/>
      <c r="E106" s="22"/>
      <c r="F106" s="12">
        <f t="shared" ref="F106:G106" si="55">SUM(F108:F136)</f>
        <v>6530485981.6900005</v>
      </c>
      <c r="G106" s="12">
        <f t="shared" si="55"/>
        <v>5449818691.8500004</v>
      </c>
      <c r="H106" s="12">
        <f t="shared" ref="H106:T106" si="56">SUM(H108:H136)</f>
        <v>1080667289.8400002</v>
      </c>
      <c r="I106" s="12">
        <f t="shared" si="56"/>
        <v>0</v>
      </c>
      <c r="J106" s="12">
        <f t="shared" ref="J106:K106" si="57">SUM(J108:J136)</f>
        <v>789942613.24000001</v>
      </c>
      <c r="K106" s="12">
        <f t="shared" si="57"/>
        <v>675540017.5999999</v>
      </c>
      <c r="L106" s="12">
        <f>SUM(L108:L136)</f>
        <v>114402595.64</v>
      </c>
      <c r="M106" s="12">
        <f t="shared" si="56"/>
        <v>0</v>
      </c>
      <c r="N106" s="12">
        <f t="shared" ref="N106:O106" si="58">SUM(N108:N136)</f>
        <v>216966002.94</v>
      </c>
      <c r="O106" s="12">
        <f t="shared" si="58"/>
        <v>208243925.84999999</v>
      </c>
      <c r="P106" s="12">
        <f>SUM(P108:P136)</f>
        <v>8722077.0899999924</v>
      </c>
      <c r="Q106" s="12">
        <f t="shared" si="56"/>
        <v>0</v>
      </c>
      <c r="R106" s="12">
        <f t="shared" si="56"/>
        <v>7537394597.8699999</v>
      </c>
      <c r="S106" s="12">
        <f t="shared" si="56"/>
        <v>6333602635.3000002</v>
      </c>
      <c r="T106" s="14">
        <f t="shared" si="56"/>
        <v>1203791962.5700004</v>
      </c>
      <c r="U106" s="17">
        <f>+S106/R106</f>
        <v>0.84029070696256492</v>
      </c>
    </row>
    <row r="107" spans="2:25" ht="24.95" customHeight="1">
      <c r="B107" s="18"/>
      <c r="C107" s="20" t="s">
        <v>98</v>
      </c>
      <c r="D107" s="20"/>
      <c r="E107" s="10"/>
      <c r="F107" s="12"/>
      <c r="G107" s="12"/>
      <c r="H107" s="12">
        <f t="shared" ref="H107:H115" si="59">+F107-G107</f>
        <v>0</v>
      </c>
      <c r="I107" s="13"/>
      <c r="J107" s="12"/>
      <c r="K107" s="12"/>
      <c r="L107" s="12">
        <f t="shared" ref="L107:L115" si="60">+J107-K107</f>
        <v>0</v>
      </c>
      <c r="M107" s="12"/>
      <c r="N107" s="12"/>
      <c r="O107" s="12"/>
      <c r="P107" s="12">
        <f t="shared" ref="P107:P115" si="61">+N107-O107</f>
        <v>0</v>
      </c>
      <c r="Q107" s="13"/>
      <c r="R107" s="12"/>
      <c r="S107" s="12"/>
      <c r="T107" s="14"/>
      <c r="U107" s="17"/>
    </row>
    <row r="108" spans="2:25" ht="24.95" customHeight="1">
      <c r="B108" s="18"/>
      <c r="C108" s="20"/>
      <c r="D108" s="20"/>
      <c r="E108" s="10" t="s">
        <v>99</v>
      </c>
      <c r="F108" s="12">
        <f>+january!F108+february!F108+march!F108+april!F108+may!F108+june!F108+july!F108+august!F108+september!F108+'october '!F108+november!F108+december!F108</f>
        <v>389430000</v>
      </c>
      <c r="G108" s="12">
        <f>+january!G108+february!G108+march!G108+april!G108+may!G108+june!G108+july!G108+august!G108+september!G108+'october '!G108+november!G108+december!G108</f>
        <v>385958303.56000006</v>
      </c>
      <c r="H108" s="12">
        <f t="shared" si="59"/>
        <v>3471696.439999938</v>
      </c>
      <c r="I108" s="13"/>
      <c r="J108" s="12">
        <f>+january!J108+february!J108+march!J108+april!J108+may!J108+june!J108+july!J108+august!J108+september!J108+'october '!J108+november!J108+december!J108</f>
        <v>159919552</v>
      </c>
      <c r="K108" s="12">
        <f>+january!K108+february!K108+march!K108+april!K108+may!K108+june!K108+july!K108+august!K108+september!K108+'october '!K108+november!K108+december!K108</f>
        <v>120965169.88</v>
      </c>
      <c r="L108" s="12">
        <f t="shared" si="60"/>
        <v>38954382.120000005</v>
      </c>
      <c r="M108" s="12"/>
      <c r="N108" s="12">
        <f>+january!N108+february!N108+march!N108+april!N108+may!N108+june!N108+july!N108+august!N108+september!N108+'october '!N108+november!N108+december!N108</f>
        <v>35570556</v>
      </c>
      <c r="O108" s="12">
        <f>+january!O108+february!O108+march!O108+april!O108+may!O108+june!O108+july!O108+august!O108+september!O108+'october '!O108+november!O108+december!O108</f>
        <v>30549368.310000002</v>
      </c>
      <c r="P108" s="12">
        <f t="shared" si="61"/>
        <v>5021187.6899999976</v>
      </c>
      <c r="Q108" s="13"/>
      <c r="R108" s="12">
        <f t="shared" ref="R108:S115" si="62">+F108+J108+N108</f>
        <v>584920108</v>
      </c>
      <c r="S108" s="12">
        <f t="shared" si="62"/>
        <v>537472841.75</v>
      </c>
      <c r="T108" s="14">
        <f t="shared" ref="T108:T115" si="63">+R108-S108</f>
        <v>47447266.25</v>
      </c>
      <c r="U108" s="17">
        <f t="shared" si="34"/>
        <v>0.91888248394770522</v>
      </c>
    </row>
    <row r="109" spans="2:25" ht="27" customHeight="1">
      <c r="B109" s="18"/>
      <c r="C109" s="10"/>
      <c r="D109" s="10"/>
      <c r="E109" s="22" t="s">
        <v>100</v>
      </c>
      <c r="F109" s="12">
        <f>+january!F109+february!F109+march!F109+april!F109+may!F109+june!F109+july!F109+august!F109+september!F109+'october '!F109+november!F109+december!F109</f>
        <v>306289690</v>
      </c>
      <c r="G109" s="12">
        <f>+january!G109+february!G109+march!G109+april!G109+may!G109+june!G109+july!G109+august!G109+september!G109+'october '!G109+november!G109+december!G109</f>
        <v>298560793.88</v>
      </c>
      <c r="H109" s="12">
        <f t="shared" si="59"/>
        <v>7728896.1200000048</v>
      </c>
      <c r="I109" s="13"/>
      <c r="J109" s="12">
        <f>+january!J109+february!J109+march!J109+april!J109+may!J109+june!J109+july!J109+august!J109+september!J109+'october '!J109+november!J109+december!J109</f>
        <v>15395374.190000001</v>
      </c>
      <c r="K109" s="12">
        <f>+january!K109+february!K109+march!K109+april!K109+may!K109+june!K109+july!K109+august!K109+september!K109+'october '!K109+november!K109+december!K109</f>
        <v>15395374.190000001</v>
      </c>
      <c r="L109" s="12">
        <f t="shared" si="60"/>
        <v>0</v>
      </c>
      <c r="M109" s="12"/>
      <c r="N109" s="12">
        <f>+january!N109+february!N109+march!N109+april!N109+may!N109+june!N109+july!N109+august!N109+september!N109+'october '!N109+november!N109+december!N109</f>
        <v>4302224</v>
      </c>
      <c r="O109" s="12">
        <f>+january!O109+february!O109+march!O109+april!O109+may!O109+june!O109+july!O109+august!O109+september!O109+'october '!O109+november!O109+december!O109</f>
        <v>4302223.76</v>
      </c>
      <c r="P109" s="12">
        <f t="shared" si="61"/>
        <v>0.24000000022351742</v>
      </c>
      <c r="Q109" s="13"/>
      <c r="R109" s="12">
        <f t="shared" si="62"/>
        <v>325987288.19</v>
      </c>
      <c r="S109" s="12">
        <f t="shared" si="62"/>
        <v>318258391.82999998</v>
      </c>
      <c r="T109" s="14">
        <f t="shared" si="63"/>
        <v>7728896.3600000143</v>
      </c>
      <c r="U109" s="17">
        <f t="shared" si="34"/>
        <v>0.97629080445770244</v>
      </c>
    </row>
    <row r="110" spans="2:25" ht="27" customHeight="1">
      <c r="B110" s="18"/>
      <c r="C110" s="10"/>
      <c r="D110" s="10"/>
      <c r="E110" s="22" t="s">
        <v>101</v>
      </c>
      <c r="F110" s="12">
        <f>+january!F110+february!F110+march!F110+april!F110+may!F110+june!F110+july!F110+august!F110+september!F110+'october '!F110+november!F110+december!F110</f>
        <v>55056218</v>
      </c>
      <c r="G110" s="12">
        <f>+january!G110+february!G110+march!G110+april!G110+may!G110+june!G110+july!G110+august!G110+september!G110+'october '!G110+november!G110+december!G110</f>
        <v>35629838.550000004</v>
      </c>
      <c r="H110" s="12">
        <f t="shared" si="59"/>
        <v>19426379.449999996</v>
      </c>
      <c r="I110" s="13"/>
      <c r="J110" s="12">
        <f>+january!J110+february!J110+march!J110+april!J110+may!J110+june!J110+july!J110+august!J110+september!J110+'october '!J110+november!J110+december!J110</f>
        <v>315000</v>
      </c>
      <c r="K110" s="12">
        <f>+january!K110+february!K110+march!K110+april!K110+may!K110+june!K110+july!K110+august!K110+september!K110+'october '!K110+november!K110+december!K110</f>
        <v>315000</v>
      </c>
      <c r="L110" s="12">
        <f t="shared" si="60"/>
        <v>0</v>
      </c>
      <c r="M110" s="12"/>
      <c r="N110" s="12">
        <f>+january!N110+february!N110+march!N110+april!N110+may!N110+june!N110+july!N110+august!N110+september!N110+'october '!N110+november!N110+december!N110</f>
        <v>2728622.96</v>
      </c>
      <c r="O110" s="12">
        <f>+january!O110+february!O110+march!O110+april!O110+may!O110+june!O110+july!O110+august!O110+september!O110+'october '!O110+november!O110+december!O110</f>
        <v>101587.74</v>
      </c>
      <c r="P110" s="12">
        <f t="shared" si="61"/>
        <v>2627035.2199999997</v>
      </c>
      <c r="Q110" s="13"/>
      <c r="R110" s="12">
        <f t="shared" si="62"/>
        <v>58099840.960000001</v>
      </c>
      <c r="S110" s="12">
        <f t="shared" si="62"/>
        <v>36046426.290000007</v>
      </c>
      <c r="T110" s="14">
        <f t="shared" si="63"/>
        <v>22053414.669999994</v>
      </c>
      <c r="U110" s="17">
        <f t="shared" si="34"/>
        <v>0.62042211638439582</v>
      </c>
    </row>
    <row r="111" spans="2:25" ht="29.25" customHeight="1">
      <c r="B111" s="18"/>
      <c r="C111" s="10"/>
      <c r="D111" s="10"/>
      <c r="E111" s="22" t="s">
        <v>102</v>
      </c>
      <c r="F111" s="12">
        <f>+january!F111+february!F111+march!F111+april!F111+may!F111+june!F111+july!F111+august!F111+september!F111+'october '!F111+november!F111+december!F111</f>
        <v>25680960</v>
      </c>
      <c r="G111" s="12">
        <f>+january!G111+february!G111+march!G111+april!G111+may!G111+june!G111+july!G111+august!G111+september!G111+'october '!G111+november!G111+december!G111</f>
        <v>21596074.910000004</v>
      </c>
      <c r="H111" s="12">
        <f t="shared" si="59"/>
        <v>4084885.0899999961</v>
      </c>
      <c r="I111" s="13"/>
      <c r="J111" s="12">
        <f>+january!J111+february!J111+march!J111+april!J111+may!J111+june!J111+july!J111+august!J111+september!J111+'october '!J111+november!J111+december!J111</f>
        <v>205000</v>
      </c>
      <c r="K111" s="12">
        <f>+january!K111+february!K111+march!K111+april!K111+may!K111+june!K111+july!K111+august!K111+september!K111+'october '!K111+november!K111+december!K111</f>
        <v>190356.92</v>
      </c>
      <c r="L111" s="12">
        <f t="shared" si="60"/>
        <v>14643.079999999987</v>
      </c>
      <c r="M111" s="12"/>
      <c r="N111" s="12">
        <f>+january!N111+february!N111+march!N111+april!N111+may!N111+june!N111+july!N111+august!N111+september!N111+'october '!N111+november!N111+december!N111</f>
        <v>0</v>
      </c>
      <c r="O111" s="12">
        <f>+january!O111+february!O111+march!O111+april!O111+may!O111+june!O111+july!O111+august!O111+september!O111+'october '!O111+november!O111+december!O111</f>
        <v>0</v>
      </c>
      <c r="P111" s="12">
        <f t="shared" si="61"/>
        <v>0</v>
      </c>
      <c r="Q111" s="13"/>
      <c r="R111" s="12">
        <f t="shared" si="62"/>
        <v>25885960</v>
      </c>
      <c r="S111" s="12">
        <f t="shared" si="62"/>
        <v>21786431.830000006</v>
      </c>
      <c r="T111" s="14">
        <f t="shared" si="63"/>
        <v>4099528.1699999943</v>
      </c>
      <c r="U111" s="17">
        <f t="shared" si="34"/>
        <v>0.84163120973686145</v>
      </c>
    </row>
    <row r="112" spans="2:25" ht="24.95" customHeight="1">
      <c r="B112" s="18"/>
      <c r="C112" s="10"/>
      <c r="D112" s="10"/>
      <c r="E112" s="28" t="s">
        <v>103</v>
      </c>
      <c r="F112" s="12">
        <f>+january!F112+february!F112+march!F112+april!F112+may!F112+june!F112+july!F112+august!F112+september!F112+'october '!F112+november!F112+december!F112</f>
        <v>14643281.039999999</v>
      </c>
      <c r="G112" s="12">
        <f>+january!G112+february!G112+march!G112+april!G112+may!G112+june!G112+july!G112+august!G112+september!G112+'october '!G112+november!G112+december!G112</f>
        <v>14451621.970000001</v>
      </c>
      <c r="H112" s="12">
        <f t="shared" si="59"/>
        <v>191659.06999999844</v>
      </c>
      <c r="I112" s="13"/>
      <c r="J112" s="12">
        <f>+january!J112+february!J112+march!J112+april!J112+may!J112+june!J112+july!J112+august!J112+september!J112+'october '!J112+november!J112+december!J112</f>
        <v>240000</v>
      </c>
      <c r="K112" s="12">
        <f>+january!K112+february!K112+march!K112+april!K112+may!K112+june!K112+july!K112+august!K112+september!K112+'october '!K112+november!K112+december!K112</f>
        <v>239999.97</v>
      </c>
      <c r="L112" s="12">
        <f t="shared" si="60"/>
        <v>2.9999999998835847E-2</v>
      </c>
      <c r="M112" s="12"/>
      <c r="N112" s="12">
        <f>+january!N112+february!N112+march!N112+april!N112+may!N112+june!N112+july!N112+august!N112+september!N112+'october '!N112+november!N112+december!N112</f>
        <v>0</v>
      </c>
      <c r="O112" s="12">
        <f>+january!O112+february!O112+march!O112+april!O112+may!O112+june!O112+july!O112+august!O112+september!O112+'october '!O112+november!O112+december!O112</f>
        <v>0</v>
      </c>
      <c r="P112" s="12">
        <f t="shared" si="61"/>
        <v>0</v>
      </c>
      <c r="Q112" s="13"/>
      <c r="R112" s="12">
        <f t="shared" si="62"/>
        <v>14883281.039999999</v>
      </c>
      <c r="S112" s="12">
        <f t="shared" si="62"/>
        <v>14691621.940000001</v>
      </c>
      <c r="T112" s="14">
        <f t="shared" si="63"/>
        <v>191659.09999999776</v>
      </c>
      <c r="U112" s="17">
        <f t="shared" si="34"/>
        <v>0.9871225236233262</v>
      </c>
    </row>
    <row r="113" spans="2:22" ht="24.95" customHeight="1">
      <c r="B113" s="18"/>
      <c r="C113" s="10"/>
      <c r="D113" s="10"/>
      <c r="E113" s="22" t="s">
        <v>104</v>
      </c>
      <c r="F113" s="12">
        <f>+january!F113+february!F113+march!F113+april!F113+may!F113+june!F113+july!F113+august!F113+september!F113+'october '!F113+november!F113+december!F113</f>
        <v>59909000</v>
      </c>
      <c r="G113" s="12">
        <f>+january!G113+february!G113+march!G113+april!G113+may!G113+june!G113+july!G113+august!G113+september!G113+'october '!G113+november!G113+december!G113</f>
        <v>52809164.039999999</v>
      </c>
      <c r="H113" s="12">
        <f t="shared" si="59"/>
        <v>7099835.9600000009</v>
      </c>
      <c r="I113" s="13"/>
      <c r="J113" s="12">
        <f>+january!J113+february!J113+march!J113+april!J113+may!J113+june!J113+july!J113+august!J113+september!J113+'october '!J113+november!J113+december!J113</f>
        <v>370000</v>
      </c>
      <c r="K113" s="12">
        <f>+january!K113+february!K113+march!K113+april!K113+may!K113+june!K113+july!K113+august!K113+september!K113+'october '!K113+november!K113+december!K113</f>
        <v>370000</v>
      </c>
      <c r="L113" s="12">
        <f t="shared" si="60"/>
        <v>0</v>
      </c>
      <c r="M113" s="12"/>
      <c r="N113" s="12">
        <f>+january!N113+february!N113+march!N113+april!N113+may!N113+june!N113+july!N113+august!N113+september!N113+'october '!N113+november!N113+december!N113</f>
        <v>0</v>
      </c>
      <c r="O113" s="12">
        <f>+january!O113+february!O113+march!O113+april!O113+may!O113+june!O113+july!O113+august!O113+september!O113+'october '!O113+november!O113+december!O113</f>
        <v>0</v>
      </c>
      <c r="P113" s="12">
        <f t="shared" si="61"/>
        <v>0</v>
      </c>
      <c r="Q113" s="13"/>
      <c r="R113" s="12">
        <f t="shared" si="62"/>
        <v>60279000</v>
      </c>
      <c r="S113" s="12">
        <f t="shared" si="62"/>
        <v>53179164.039999999</v>
      </c>
      <c r="T113" s="14">
        <f t="shared" si="63"/>
        <v>7099835.9600000009</v>
      </c>
      <c r="U113" s="17">
        <f t="shared" si="34"/>
        <v>0.88221709119262093</v>
      </c>
    </row>
    <row r="114" spans="2:22" ht="29.25" customHeight="1">
      <c r="B114" s="18"/>
      <c r="C114" s="10"/>
      <c r="D114" s="10"/>
      <c r="E114" s="22" t="s">
        <v>105</v>
      </c>
      <c r="F114" s="12">
        <f>+january!F114+february!F114+march!F114+april!F114+may!F114+june!F114+july!F114+august!F114+september!F114+'october '!F114+november!F114+december!F114</f>
        <v>138239738</v>
      </c>
      <c r="G114" s="12">
        <f>+january!G114+february!G114+march!G114+april!G114+may!G114+june!G114+july!G114+august!G114+september!G114+'october '!G114+november!G114+december!G114</f>
        <v>114255660.5</v>
      </c>
      <c r="H114" s="12">
        <f t="shared" si="59"/>
        <v>23984077.5</v>
      </c>
      <c r="I114" s="13"/>
      <c r="J114" s="12">
        <f>+january!J114+february!J114+march!J114+april!J114+may!J114+june!J114+july!J114+august!J114+september!J114+'october '!J114+november!J114+december!J114</f>
        <v>6370500</v>
      </c>
      <c r="K114" s="12">
        <f>+january!K114+february!K114+march!K114+april!K114+may!K114+june!K114+july!K114+august!K114+september!K114+'october '!K114+november!K114+december!K114</f>
        <v>6370500</v>
      </c>
      <c r="L114" s="12">
        <f t="shared" si="60"/>
        <v>0</v>
      </c>
      <c r="M114" s="12"/>
      <c r="N114" s="12">
        <f>+january!N114+february!N114+march!N114+april!N114+may!N114+june!N114+july!N114+august!N114+september!N114+'october '!N114+november!N114+december!N114</f>
        <v>0</v>
      </c>
      <c r="O114" s="12">
        <f>+january!O114+february!O114+march!O114+april!O114+may!O114+june!O114+july!O114+august!O114+september!O114+'october '!O114+november!O114+december!O114</f>
        <v>0</v>
      </c>
      <c r="P114" s="12">
        <f t="shared" si="61"/>
        <v>0</v>
      </c>
      <c r="Q114" s="13"/>
      <c r="R114" s="12">
        <f t="shared" si="62"/>
        <v>144610238</v>
      </c>
      <c r="S114" s="12">
        <f t="shared" si="62"/>
        <v>120626160.5</v>
      </c>
      <c r="T114" s="14">
        <f t="shared" si="63"/>
        <v>23984077.5</v>
      </c>
      <c r="U114" s="17">
        <f t="shared" si="34"/>
        <v>0.83414675315035436</v>
      </c>
    </row>
    <row r="115" spans="2:22" ht="29.25" customHeight="1">
      <c r="B115" s="18"/>
      <c r="C115" s="10"/>
      <c r="D115" s="10"/>
      <c r="E115" s="21" t="s">
        <v>106</v>
      </c>
      <c r="F115" s="12">
        <f>+january!F115+february!F115+march!F115+april!F115+may!F115+june!F115+july!F115+august!F115+september!F115+'october '!F115+november!F115+december!F115</f>
        <v>164020415</v>
      </c>
      <c r="G115" s="12">
        <f>+january!G115+february!G115+march!G115+april!G115+may!G115+june!G115+july!G115+august!G115+september!G115+'october '!G115+november!G115+december!G115</f>
        <v>118612009.93000001</v>
      </c>
      <c r="H115" s="12">
        <f t="shared" si="59"/>
        <v>45408405.069999993</v>
      </c>
      <c r="I115" s="13"/>
      <c r="J115" s="12">
        <f>+january!J115+february!J115+march!J115+april!J115+may!J115+june!J115+july!J115+august!J115+september!J115+'october '!J115+november!J115+december!J115</f>
        <v>535000</v>
      </c>
      <c r="K115" s="12">
        <f>+january!K115+february!K115+march!K115+april!K115+may!K115+june!K115+july!K115+august!K115+september!K115+'october '!K115+november!K115+december!K115</f>
        <v>435000</v>
      </c>
      <c r="L115" s="12">
        <f t="shared" si="60"/>
        <v>100000</v>
      </c>
      <c r="M115" s="12"/>
      <c r="N115" s="12">
        <f>+january!N115+february!N115+march!N115+april!N115+may!N115+june!N115+july!N115+august!N115+september!N115+'october '!N115+november!N115+december!N115</f>
        <v>338958</v>
      </c>
      <c r="O115" s="12">
        <f>+january!O115+february!O115+march!O115+april!O115+may!O115+june!O115+july!O115+august!O115+september!O115+'october '!O115+november!O115+december!O115</f>
        <v>338957.81</v>
      </c>
      <c r="P115" s="12">
        <f t="shared" si="61"/>
        <v>0.19000000000232831</v>
      </c>
      <c r="Q115" s="13"/>
      <c r="R115" s="12">
        <f t="shared" si="62"/>
        <v>164894373</v>
      </c>
      <c r="S115" s="12">
        <f t="shared" si="62"/>
        <v>119385967.74000001</v>
      </c>
      <c r="T115" s="14">
        <f t="shared" si="63"/>
        <v>45508405.25999999</v>
      </c>
      <c r="U115" s="17">
        <f t="shared" si="34"/>
        <v>0.72401480758837056</v>
      </c>
    </row>
    <row r="116" spans="2:22" ht="24.95" customHeight="1">
      <c r="B116" s="18"/>
      <c r="C116" s="10"/>
      <c r="D116" s="10"/>
      <c r="E116" s="28"/>
      <c r="F116" s="12">
        <f>+january!F116+february!F116+march!F116+april!F116+may!F116+june!F116+july!F116+august!F116+september!F116+'october '!F116+november!F116+december!F116</f>
        <v>0</v>
      </c>
      <c r="G116" s="12">
        <f>+january!G116+february!G116+march!G116+april!G116+may!G116+june!G116+july!G116+august!G116+september!G116+'october '!G116+november!G116+december!G116</f>
        <v>0</v>
      </c>
      <c r="H116" s="12"/>
      <c r="I116" s="13"/>
      <c r="J116" s="12">
        <f>+january!J116+february!J116+march!J116+april!J116+may!J116+june!J116+july!J116+august!J116+september!J116+'october '!J116+november!J116+december!J116</f>
        <v>0</v>
      </c>
      <c r="K116" s="12">
        <f>+january!K116+february!K116+march!K116+april!K116+may!K116+june!K116+july!K116+august!K116+september!K116+'october '!K116+november!K116+december!K116</f>
        <v>0</v>
      </c>
      <c r="L116" s="12"/>
      <c r="M116" s="12"/>
      <c r="N116" s="12">
        <f>+january!N116+february!N116+march!N116+april!N116+may!N116+june!N116+july!N116+august!N116+september!N116+'october '!N116+november!N116+december!N116</f>
        <v>0</v>
      </c>
      <c r="O116" s="12">
        <f>+january!O116+february!O116+march!O116+april!O116+may!O116+june!O116+july!O116+august!O116+september!O116+'october '!O116+november!O116+december!O116</f>
        <v>0</v>
      </c>
      <c r="P116" s="12"/>
      <c r="Q116" s="13"/>
      <c r="R116" s="12"/>
      <c r="S116" s="12"/>
      <c r="T116" s="14"/>
      <c r="U116" s="17"/>
    </row>
    <row r="117" spans="2:22" ht="24.95" customHeight="1">
      <c r="B117" s="18"/>
      <c r="C117" s="20" t="s">
        <v>107</v>
      </c>
      <c r="D117" s="20"/>
      <c r="E117" s="10"/>
      <c r="F117" s="12">
        <f>+january!F117+february!F117+march!F117+april!F117+may!F117+june!F117+july!F117+august!F117+september!F117+'october '!F117+november!F117+december!F117</f>
        <v>0</v>
      </c>
      <c r="G117" s="12">
        <f>+january!G117+february!G117+march!G117+april!G117+may!G117+june!G117+july!G117+august!G117+september!G117+'october '!G117+november!G117+december!G117</f>
        <v>0</v>
      </c>
      <c r="H117" s="12"/>
      <c r="I117" s="13"/>
      <c r="J117" s="12">
        <f>+january!J117+february!J117+march!J117+april!J117+may!J117+june!J117+july!J117+august!J117+september!J117+'october '!J117+november!J117+december!J117</f>
        <v>0</v>
      </c>
      <c r="K117" s="12">
        <f>+january!K117+february!K117+march!K117+april!K117+may!K117+june!K117+july!K117+august!K117+september!K117+'october '!K117+november!K117+december!K117</f>
        <v>0</v>
      </c>
      <c r="L117" s="12"/>
      <c r="M117" s="12"/>
      <c r="N117" s="12">
        <f>+january!N117+february!N117+march!N117+april!N117+may!N117+june!N117+july!N117+august!N117+september!N117+'october '!N117+november!N117+december!N117</f>
        <v>0</v>
      </c>
      <c r="O117" s="12">
        <f>+january!O117+february!O117+march!O117+april!O117+may!O117+june!O117+july!O117+august!O117+september!O117+'october '!O117+november!O117+december!O117</f>
        <v>0</v>
      </c>
      <c r="P117" s="12"/>
      <c r="Q117" s="13"/>
      <c r="R117" s="12"/>
      <c r="S117" s="12"/>
      <c r="T117" s="14"/>
      <c r="U117" s="17"/>
    </row>
    <row r="118" spans="2:22" ht="24.95" customHeight="1">
      <c r="B118" s="18"/>
      <c r="C118" s="20"/>
      <c r="D118" s="20"/>
      <c r="E118" s="10" t="s">
        <v>108</v>
      </c>
      <c r="F118" s="12">
        <f>+january!F118+february!F118+march!F118+april!F118+may!F118+june!F118+july!F118+august!F118+september!F118+'october '!F118+november!F118+december!F118</f>
        <v>657819000</v>
      </c>
      <c r="G118" s="12">
        <f>+january!G118+february!G118+march!G118+april!G118+may!G118+june!G118+july!G118+august!G118+september!G118+'october '!G118+november!G118+december!G118</f>
        <v>645674506.21000004</v>
      </c>
      <c r="H118" s="12">
        <f>+F118-G118</f>
        <v>12144493.789999962</v>
      </c>
      <c r="I118" s="13"/>
      <c r="J118" s="12">
        <f>+january!J118+february!J118+march!J118+april!J118+may!J118+june!J118+july!J118+august!J118+september!J118+'october '!J118+november!J118+december!J118</f>
        <v>74465348.180000007</v>
      </c>
      <c r="K118" s="12">
        <f>+january!K118+february!K118+march!K118+april!K118+may!K118+june!K118+july!K118+august!K118+september!K118+'october '!K118+november!K118+december!K118</f>
        <v>73465226.590000004</v>
      </c>
      <c r="L118" s="12">
        <f>+J118-K118</f>
        <v>1000121.5900000036</v>
      </c>
      <c r="M118" s="12"/>
      <c r="N118" s="12">
        <f>+january!N118+february!N118+march!N118+april!N118+may!N118+june!N118+july!N118+august!N118+september!N118+'october '!N118+november!N118+december!N118</f>
        <v>59100718</v>
      </c>
      <c r="O118" s="12">
        <f>+january!O118+february!O118+march!O118+april!O118+may!O118+june!O118+july!O118+august!O118+september!O118+'october '!O118+november!O118+december!O118</f>
        <v>59100404.949999996</v>
      </c>
      <c r="P118" s="12">
        <f>+N118-O118</f>
        <v>313.05000000447035</v>
      </c>
      <c r="Q118" s="13"/>
      <c r="R118" s="12">
        <f t="shared" ref="R118:S121" si="64">+F118+J118+N118</f>
        <v>791385066.18000007</v>
      </c>
      <c r="S118" s="12">
        <f t="shared" si="64"/>
        <v>778240137.75000012</v>
      </c>
      <c r="T118" s="14">
        <f>+R118-S118</f>
        <v>13144928.429999948</v>
      </c>
      <c r="U118" s="17">
        <f t="shared" si="34"/>
        <v>0.98338997159315844</v>
      </c>
    </row>
    <row r="119" spans="2:22" ht="28.5" customHeight="1">
      <c r="B119" s="18"/>
      <c r="C119" s="10"/>
      <c r="D119" s="10"/>
      <c r="E119" s="21" t="s">
        <v>109</v>
      </c>
      <c r="F119" s="12">
        <f>+january!F119+february!F119+march!F119+april!F119+may!F119+june!F119+july!F119+august!F119+september!F119+'october '!F119+november!F119+december!F119</f>
        <v>665160263.65999997</v>
      </c>
      <c r="G119" s="12">
        <f>+january!G119+february!G119+march!G119+april!G119+may!G119+june!G119+july!G119+august!G119+september!G119+'october '!G119+november!G119+december!G119</f>
        <v>404488635.44999993</v>
      </c>
      <c r="H119" s="12">
        <f>+F119-G119</f>
        <v>260671628.21000004</v>
      </c>
      <c r="I119" s="13"/>
      <c r="J119" s="12">
        <f>+january!J119+february!J119+march!J119+april!J119+may!J119+june!J119+july!J119+august!J119+september!J119+'october '!J119+november!J119+december!J119</f>
        <v>50864640.450000003</v>
      </c>
      <c r="K119" s="12">
        <f>+january!K119+february!K119+march!K119+april!K119+may!K119+june!K119+july!K119+august!K119+september!K119+'october '!K119+november!K119+december!K119</f>
        <v>50864640.450000003</v>
      </c>
      <c r="L119" s="12">
        <f>+J119-K119</f>
        <v>0</v>
      </c>
      <c r="M119" s="12"/>
      <c r="N119" s="12">
        <f>+january!N119+february!N119+march!N119+april!N119+may!N119+june!N119+july!N119+august!N119+september!N119+'october '!N119+november!N119+december!N119</f>
        <v>10510850.879999999</v>
      </c>
      <c r="O119" s="12">
        <f>+january!O119+february!O119+march!O119+april!O119+may!O119+june!O119+july!O119+august!O119+september!O119+'october '!O119+november!O119+december!O119</f>
        <v>9654674.9900000002</v>
      </c>
      <c r="P119" s="12">
        <f>+N119-O119</f>
        <v>856175.88999999873</v>
      </c>
      <c r="Q119" s="13"/>
      <c r="R119" s="12">
        <f t="shared" si="64"/>
        <v>726535754.99000001</v>
      </c>
      <c r="S119" s="12">
        <f t="shared" si="64"/>
        <v>465007950.88999993</v>
      </c>
      <c r="T119" s="14">
        <f>+R119-S119</f>
        <v>261527804.10000008</v>
      </c>
      <c r="U119" s="17">
        <f t="shared" si="34"/>
        <v>0.64003450304575893</v>
      </c>
    </row>
    <row r="120" spans="2:22" ht="28.5" customHeight="1">
      <c r="B120" s="18"/>
      <c r="C120" s="10"/>
      <c r="D120" s="10"/>
      <c r="E120" s="21" t="s">
        <v>110</v>
      </c>
      <c r="F120" s="12">
        <f>+january!F120+february!F120+march!F120+april!F120+may!F120+june!F120+july!F120+august!F120+september!F120+'october '!F120+november!F120+december!F120</f>
        <v>196124419.75</v>
      </c>
      <c r="G120" s="12">
        <f>+january!G120+february!G120+march!G120+april!G120+may!G120+june!G120+july!G120+august!G120+september!G120+'october '!G120+november!G120+december!G120</f>
        <v>191012784.22999999</v>
      </c>
      <c r="H120" s="12">
        <f>+F120-G120</f>
        <v>5111635.5200000107</v>
      </c>
      <c r="I120" s="13"/>
      <c r="J120" s="12">
        <f>+january!J120+february!J120+march!J120+april!J120+may!J120+june!J120+july!J120+august!J120+september!J120+'october '!J120+november!J120+december!J120</f>
        <v>16426934.42</v>
      </c>
      <c r="K120" s="12">
        <f>+january!K120+february!K120+march!K120+april!K120+may!K120+june!K120+july!K120+august!K120+september!K120+'october '!K120+november!K120+december!K120</f>
        <v>8869036.4199999999</v>
      </c>
      <c r="L120" s="12">
        <f>+J120-K120</f>
        <v>7557898</v>
      </c>
      <c r="M120" s="12"/>
      <c r="N120" s="12">
        <f>+january!N120+february!N120+march!N120+april!N120+may!N120+june!N120+july!N120+august!N120+september!N120+'october '!N120+november!N120+december!N120</f>
        <v>0</v>
      </c>
      <c r="O120" s="12">
        <f>+january!O120+february!O120+march!O120+april!O120+may!O120+june!O120+july!O120+august!O120+september!O120+'october '!O120+november!O120+december!O120</f>
        <v>0</v>
      </c>
      <c r="P120" s="12">
        <f>+N120-O120</f>
        <v>0</v>
      </c>
      <c r="Q120" s="13"/>
      <c r="R120" s="12">
        <f t="shared" si="64"/>
        <v>212551354.16999999</v>
      </c>
      <c r="S120" s="12">
        <f t="shared" si="64"/>
        <v>199881820.64999998</v>
      </c>
      <c r="T120" s="14">
        <f>+R120-S120</f>
        <v>12669533.520000011</v>
      </c>
      <c r="U120" s="17">
        <f t="shared" si="34"/>
        <v>0.94039307079706091</v>
      </c>
    </row>
    <row r="121" spans="2:22" ht="28.5" customHeight="1">
      <c r="B121" s="18"/>
      <c r="C121" s="10"/>
      <c r="D121" s="10"/>
      <c r="E121" s="22" t="s">
        <v>111</v>
      </c>
      <c r="F121" s="12">
        <f>+january!F121+february!F121+march!F121+april!F121+may!F121+june!F121+july!F121+august!F121+september!F121+'october '!F121+november!F121+december!F121</f>
        <v>175345017</v>
      </c>
      <c r="G121" s="12">
        <f>+january!G121+february!G121+march!G121+april!G121+may!G121+june!G121+july!G121+august!G121+september!G121+'october '!G121+november!G121+december!G121</f>
        <v>128007428.63999999</v>
      </c>
      <c r="H121" s="12">
        <f>+F121-G121</f>
        <v>47337588.360000014</v>
      </c>
      <c r="I121" s="13"/>
      <c r="J121" s="12">
        <f>+january!J121+february!J121+march!J121+april!J121+may!J121+june!J121+july!J121+august!J121+september!J121+'october '!J121+november!J121+december!J121</f>
        <v>17215000</v>
      </c>
      <c r="K121" s="12">
        <f>+january!K121+february!K121+march!K121+april!K121+may!K121+june!K121+july!K121+august!K121+september!K121+'october '!K121+november!K121+december!K121</f>
        <v>7598662.7299999995</v>
      </c>
      <c r="L121" s="12">
        <f>+J121-K121</f>
        <v>9616337.2699999996</v>
      </c>
      <c r="M121" s="12"/>
      <c r="N121" s="12">
        <f>+january!N121+february!N121+march!N121+april!N121+may!N121+june!N121+july!N121+august!N121+september!N121+'october '!N121+november!N121+december!N121</f>
        <v>538304</v>
      </c>
      <c r="O121" s="12">
        <f>+january!O121+february!O121+march!O121+april!O121+may!O121+june!O121+july!O121+august!O121+september!O121+'october '!O121+november!O121+december!O121</f>
        <v>538304</v>
      </c>
      <c r="P121" s="12">
        <f>+N121-O121</f>
        <v>0</v>
      </c>
      <c r="Q121" s="13"/>
      <c r="R121" s="12">
        <f t="shared" si="64"/>
        <v>193098321</v>
      </c>
      <c r="S121" s="12">
        <f t="shared" si="64"/>
        <v>136144395.36999997</v>
      </c>
      <c r="T121" s="14">
        <f>+R121-S121</f>
        <v>56953925.630000025</v>
      </c>
      <c r="U121" s="17">
        <f t="shared" si="34"/>
        <v>0.70505219654395634</v>
      </c>
    </row>
    <row r="122" spans="2:22" ht="24.95" customHeight="1">
      <c r="B122" s="18"/>
      <c r="C122" s="10"/>
      <c r="D122" s="10"/>
      <c r="E122" s="22"/>
      <c r="F122" s="12">
        <f>+january!F122+february!F122+march!F122+april!F122+may!F122+june!F122+july!F122+august!F122+september!F122+'october '!F122+november!F122+december!F122</f>
        <v>0</v>
      </c>
      <c r="G122" s="12">
        <f>+january!G122+february!G122+march!G122+april!G122+may!G122+june!G122+july!G122+august!G122+september!G122+'october '!G122+november!G122+december!G122</f>
        <v>0</v>
      </c>
      <c r="H122" s="12"/>
      <c r="I122" s="13"/>
      <c r="J122" s="12">
        <f>+january!J122+february!J122+march!J122+april!J122+may!J122+june!J122+july!J122+august!J122+september!J122+'october '!J122+november!J122+december!J122</f>
        <v>0</v>
      </c>
      <c r="K122" s="12">
        <f>+january!K122+february!K122+march!K122+april!K122+may!K122+june!K122+july!K122+august!K122+september!K122+'october '!K122+november!K122+december!K122</f>
        <v>0</v>
      </c>
      <c r="L122" s="12"/>
      <c r="M122" s="12"/>
      <c r="N122" s="12">
        <f>+january!N122+february!N122+march!N122+april!N122+may!N122+june!N122+july!N122+august!N122+september!N122+'october '!N122+november!N122+december!N122</f>
        <v>0</v>
      </c>
      <c r="O122" s="12">
        <f>+january!O122+february!O122+march!O122+april!O122+may!O122+june!O122+july!O122+august!O122+september!O122+'october '!O122+november!O122+december!O122</f>
        <v>0</v>
      </c>
      <c r="P122" s="12"/>
      <c r="Q122" s="13"/>
      <c r="R122" s="12"/>
      <c r="S122" s="12"/>
      <c r="T122" s="14"/>
      <c r="U122" s="17"/>
    </row>
    <row r="123" spans="2:22" ht="24.95" customHeight="1">
      <c r="B123" s="18"/>
      <c r="C123" s="20" t="s">
        <v>112</v>
      </c>
      <c r="D123" s="20"/>
      <c r="E123" s="10"/>
      <c r="F123" s="12">
        <f>+january!F123+february!F123+march!F123+april!F123+may!F123+june!F123+july!F123+august!F123+september!F123+'october '!F123+november!F123+december!F123</f>
        <v>0</v>
      </c>
      <c r="G123" s="12">
        <f>+january!G123+february!G123+march!G123+april!G123+may!G123+june!G123+july!G123+august!G123+september!G123+'october '!G123+november!G123+december!G123</f>
        <v>0</v>
      </c>
      <c r="H123" s="12"/>
      <c r="I123" s="13"/>
      <c r="J123" s="12">
        <f>+january!J123+february!J123+march!J123+april!J123+may!J123+june!J123+july!J123+august!J123+september!J123+'october '!J123+november!J123+december!J123</f>
        <v>0</v>
      </c>
      <c r="K123" s="12">
        <f>+january!K123+february!K123+march!K123+april!K123+may!K123+june!K123+july!K123+august!K123+september!K123+'october '!K123+november!K123+december!K123</f>
        <v>0</v>
      </c>
      <c r="L123" s="12"/>
      <c r="M123" s="12"/>
      <c r="N123" s="12">
        <f>+january!N123+february!N123+march!N123+april!N123+may!N123+june!N123+july!N123+august!N123+september!N123+'october '!N123+november!N123+december!N123</f>
        <v>0</v>
      </c>
      <c r="O123" s="12">
        <f>+january!O123+february!O123+march!O123+april!O123+may!O123+june!O123+july!O123+august!O123+september!O123+'october '!O123+november!O123+december!O123</f>
        <v>0</v>
      </c>
      <c r="P123" s="12"/>
      <c r="Q123" s="13"/>
      <c r="R123" s="12"/>
      <c r="S123" s="12"/>
      <c r="T123" s="14"/>
      <c r="U123" s="17"/>
    </row>
    <row r="124" spans="2:22" ht="24.95" customHeight="1">
      <c r="B124" s="18"/>
      <c r="C124" s="20"/>
      <c r="D124" s="20"/>
      <c r="E124" s="10" t="s">
        <v>113</v>
      </c>
      <c r="F124" s="12">
        <f>+january!F124+february!F124+march!F124+april!F124+may!F124+june!F124+july!F124+august!F124+september!F124+'october '!F124+november!F124+december!F124</f>
        <v>434960185</v>
      </c>
      <c r="G124" s="12">
        <f>+january!G124+february!G124+march!G124+april!G124+may!G124+june!G124+july!G124+august!G124+september!G124+'october '!G124+november!G124+december!G124</f>
        <v>398810703.61000001</v>
      </c>
      <c r="H124" s="12">
        <f>+F124-G124</f>
        <v>36149481.389999986</v>
      </c>
      <c r="I124" s="13"/>
      <c r="J124" s="12">
        <f>+january!J124+february!J124+march!J124+april!J124+may!J124+june!J124+july!J124+august!J124+september!J124+'october '!J124+november!J124+december!J124</f>
        <v>137214300</v>
      </c>
      <c r="K124" s="12">
        <f>+january!K124+february!K124+march!K124+april!K124+may!K124+june!K124+july!K124+august!K124+september!K124+'october '!K124+november!K124+december!K124</f>
        <v>105912458.22</v>
      </c>
      <c r="L124" s="12">
        <f>+J124-K124</f>
        <v>31301841.780000001</v>
      </c>
      <c r="M124" s="12"/>
      <c r="N124" s="12">
        <f>+january!N124+february!N124+march!N124+april!N124+may!N124+june!N124+july!N124+august!N124+september!N124+'october '!N124+november!N124+december!N124</f>
        <v>29305450</v>
      </c>
      <c r="O124" s="12">
        <f>+january!O124+february!O124+march!O124+april!O124+may!O124+june!O124+july!O124+august!O124+september!O124+'october '!O124+november!O124+december!O124</f>
        <v>29305448.609999999</v>
      </c>
      <c r="P124" s="12">
        <f>+N124-O124</f>
        <v>1.3900000005960464</v>
      </c>
      <c r="Q124" s="13"/>
      <c r="R124" s="12">
        <f t="shared" ref="R124:S126" si="65">+F124+J124+N124</f>
        <v>601479935</v>
      </c>
      <c r="S124" s="12">
        <f t="shared" si="65"/>
        <v>534028610.44000006</v>
      </c>
      <c r="T124" s="14">
        <f>+R124-S124</f>
        <v>67451324.559999943</v>
      </c>
      <c r="U124" s="17">
        <f t="shared" si="34"/>
        <v>0.88785773118100786</v>
      </c>
      <c r="V124" s="2" t="s">
        <v>140</v>
      </c>
    </row>
    <row r="125" spans="2:22" ht="24.95" customHeight="1">
      <c r="B125" s="18"/>
      <c r="C125" s="10"/>
      <c r="D125" s="10"/>
      <c r="E125" s="22" t="s">
        <v>115</v>
      </c>
      <c r="F125" s="12">
        <f>+january!F125+february!F125+march!F125+april!F125+may!F125+june!F125+july!F125+august!F125+september!F125+'october '!F125+november!F125+december!F125</f>
        <v>726284931.21000004</v>
      </c>
      <c r="G125" s="12">
        <f>+january!G125+february!G125+march!G125+april!G125+may!G125+june!G125+july!G125+august!G125+september!G125+'october '!G125+november!G125+december!G125</f>
        <v>630859466.75</v>
      </c>
      <c r="H125" s="12">
        <f>+F125-G125</f>
        <v>95425464.460000038</v>
      </c>
      <c r="I125" s="13"/>
      <c r="J125" s="12">
        <f>+january!J125+february!J125+march!J125+april!J125+may!J125+june!J125+july!J125+august!J125+september!J125+'october '!J125+november!J125+december!J125</f>
        <v>10865000</v>
      </c>
      <c r="K125" s="12">
        <f>+january!K125+february!K125+march!K125+april!K125+may!K125+june!K125+july!K125+august!K125+september!K125+'october '!K125+november!K125+december!K125</f>
        <v>10805000</v>
      </c>
      <c r="L125" s="12">
        <f>+J125-K125</f>
        <v>60000</v>
      </c>
      <c r="M125" s="12"/>
      <c r="N125" s="12">
        <f>+january!N125+february!N125+march!N125+april!N125+may!N125+june!N125+july!N125+august!N125+september!N125+'october '!N125+november!N125+december!N125</f>
        <v>24826561</v>
      </c>
      <c r="O125" s="12">
        <f>+january!O125+february!O125+march!O125+april!O125+may!O125+june!O125+july!O125+august!O125+september!O125+'october '!O125+november!O125+december!O125</f>
        <v>24656459.650000002</v>
      </c>
      <c r="P125" s="12">
        <f>+N125-O125</f>
        <v>170101.34999999776</v>
      </c>
      <c r="Q125" s="13"/>
      <c r="R125" s="12">
        <f t="shared" si="65"/>
        <v>761976492.21000004</v>
      </c>
      <c r="S125" s="12">
        <f t="shared" si="65"/>
        <v>666320926.39999998</v>
      </c>
      <c r="T125" s="14">
        <f>+R125-S125</f>
        <v>95655565.810000062</v>
      </c>
      <c r="U125" s="17">
        <f t="shared" si="34"/>
        <v>0.87446388860033564</v>
      </c>
    </row>
    <row r="126" spans="2:22" ht="28.5" customHeight="1">
      <c r="B126" s="18"/>
      <c r="C126" s="10"/>
      <c r="D126" s="10"/>
      <c r="E126" s="22" t="s">
        <v>116</v>
      </c>
      <c r="F126" s="12">
        <f>+january!F126+february!F126+march!F126+april!F126+may!F126+june!F126+july!F126+august!F126+september!F126+'october '!F126+november!F126+december!F126</f>
        <v>496171532.72000003</v>
      </c>
      <c r="G126" s="12">
        <f>+january!G126+february!G126+march!G126+april!G126+may!G126+june!G126+july!G126+august!G126+september!G126+'october '!G126+november!G126+december!G126</f>
        <v>422537941.27999997</v>
      </c>
      <c r="H126" s="12">
        <f>+F126-G126</f>
        <v>73633591.440000057</v>
      </c>
      <c r="I126" s="13"/>
      <c r="J126" s="12">
        <f>+january!J126+february!J126+march!J126+april!J126+may!J126+june!J126+july!J126+august!J126+september!J126+'october '!J126+november!J126+december!J126</f>
        <v>2375000</v>
      </c>
      <c r="K126" s="12">
        <f>+january!K126+february!K126+march!K126+april!K126+may!K126+june!K126+july!K126+august!K126+september!K126+'october '!K126+november!K126+december!K126</f>
        <v>2374961</v>
      </c>
      <c r="L126" s="12">
        <f>+J126-K126</f>
        <v>39</v>
      </c>
      <c r="M126" s="12"/>
      <c r="N126" s="12">
        <f>+january!N126+february!N126+march!N126+april!N126+may!N126+june!N126+july!N126+august!N126+september!N126+'october '!N126+november!N126+december!N126</f>
        <v>0</v>
      </c>
      <c r="O126" s="12">
        <f>+january!O126+february!O126+march!O126+april!O126+may!O126+june!O126+july!O126+august!O126+september!O126+'october '!O126+november!O126+december!O126</f>
        <v>0</v>
      </c>
      <c r="P126" s="12">
        <f>+N126-O126</f>
        <v>0</v>
      </c>
      <c r="Q126" s="13"/>
      <c r="R126" s="12">
        <f t="shared" si="65"/>
        <v>498546532.72000003</v>
      </c>
      <c r="S126" s="12">
        <f t="shared" si="65"/>
        <v>424912902.27999997</v>
      </c>
      <c r="T126" s="14">
        <f>+R126-S126</f>
        <v>73633630.440000057</v>
      </c>
      <c r="U126" s="17">
        <f t="shared" si="34"/>
        <v>0.85230339475381511</v>
      </c>
    </row>
    <row r="127" spans="2:22" ht="24.95" customHeight="1">
      <c r="B127" s="18"/>
      <c r="C127" s="10"/>
      <c r="D127" s="10"/>
      <c r="E127" s="22"/>
      <c r="F127" s="12">
        <f>+january!F127+february!F127+march!F127+april!F127+may!F127+june!F127+july!F127+august!F127+september!F127+'october '!F127+november!F127+december!F127</f>
        <v>0</v>
      </c>
      <c r="G127" s="12">
        <f>+january!G127+february!G127+march!G127+april!G127+may!G127+june!G127+july!G127+august!G127+september!G127+'october '!G127+november!G127+december!G127</f>
        <v>0</v>
      </c>
      <c r="H127" s="12"/>
      <c r="I127" s="13"/>
      <c r="J127" s="12">
        <f>+january!J127+february!J127+march!J127+april!J127+may!J127+june!J127+july!J127+august!J127+september!J127+'october '!J127+november!J127+december!J127</f>
        <v>0</v>
      </c>
      <c r="K127" s="12">
        <f>+january!K127+february!K127+march!K127+april!K127+may!K127+june!K127+july!K127+august!K127+september!K127+'october '!K127+november!K127+december!K127</f>
        <v>0</v>
      </c>
      <c r="L127" s="12"/>
      <c r="M127" s="12"/>
      <c r="N127" s="12">
        <f>+january!N127+february!N127+march!N127+april!N127+may!N127+june!N127+july!N127+august!N127+september!N127+'october '!N127+november!N127+december!N127</f>
        <v>0</v>
      </c>
      <c r="O127" s="12">
        <f>+january!O127+february!O127+march!O127+april!O127+may!O127+june!O127+july!O127+august!O127+september!O127+'october '!O127+november!O127+december!O127</f>
        <v>0</v>
      </c>
      <c r="P127" s="12"/>
      <c r="Q127" s="13"/>
      <c r="R127" s="12"/>
      <c r="S127" s="12"/>
      <c r="T127" s="14"/>
      <c r="U127" s="17"/>
    </row>
    <row r="128" spans="2:22" ht="24.95" customHeight="1">
      <c r="B128" s="18"/>
      <c r="C128" s="20" t="s">
        <v>117</v>
      </c>
      <c r="D128" s="20"/>
      <c r="E128" s="10"/>
      <c r="F128" s="12">
        <f>+january!F128+february!F128+march!F128+april!F128+may!F128+june!F128+july!F128+august!F128+september!F128+'october '!F128+november!F128+december!F128</f>
        <v>0</v>
      </c>
      <c r="G128" s="12">
        <f>+january!G128+february!G128+march!G128+april!G128+may!G128+june!G128+july!G128+august!G128+september!G128+'october '!G128+november!G128+december!G128</f>
        <v>0</v>
      </c>
      <c r="H128" s="12"/>
      <c r="I128" s="13"/>
      <c r="J128" s="12">
        <f>+january!J128+february!J128+march!J128+april!J128+may!J128+june!J128+july!J128+august!J128+september!J128+'october '!J128+november!J128+december!J128</f>
        <v>0</v>
      </c>
      <c r="K128" s="12">
        <f>+january!K128+february!K128+march!K128+april!K128+may!K128+june!K128+july!K128+august!K128+september!K128+'october '!K128+november!K128+december!K128</f>
        <v>0</v>
      </c>
      <c r="L128" s="12"/>
      <c r="M128" s="12"/>
      <c r="N128" s="12">
        <f>+january!N128+february!N128+march!N128+april!N128+may!N128+june!N128+july!N128+august!N128+september!N128+'october '!N128+november!N128+december!N128</f>
        <v>0</v>
      </c>
      <c r="O128" s="12">
        <f>+january!O128+february!O128+march!O128+april!O128+may!O128+june!O128+july!O128+august!O128+september!O128+'october '!O128+november!O128+december!O128</f>
        <v>0</v>
      </c>
      <c r="P128" s="12"/>
      <c r="Q128" s="13"/>
      <c r="R128" s="12"/>
      <c r="S128" s="12"/>
      <c r="T128" s="14"/>
      <c r="U128" s="17"/>
    </row>
    <row r="129" spans="2:21" ht="24.95" customHeight="1">
      <c r="B129" s="18"/>
      <c r="C129" s="20"/>
      <c r="D129" s="20"/>
      <c r="E129" s="10" t="s">
        <v>118</v>
      </c>
      <c r="F129" s="12">
        <f>+january!F129+february!F129+march!F129+april!F129+may!F129+june!F129+july!F129+august!F129+september!F129+'october '!F129+november!F129+december!F129</f>
        <v>304706174</v>
      </c>
      <c r="G129" s="12">
        <f>+january!G129+february!G129+march!G129+april!G129+may!G129+june!G129+july!G129+august!G129+september!G129+'october '!G129+november!G129+december!G129</f>
        <v>297351282.49000001</v>
      </c>
      <c r="H129" s="12">
        <f>+F129-G129</f>
        <v>7354891.5099999905</v>
      </c>
      <c r="I129" s="13"/>
      <c r="J129" s="12">
        <f>+january!J129+february!J129+march!J129+april!J129+may!J129+june!J129+july!J129+august!J129+september!J129+'october '!J129+november!J129+december!J129</f>
        <v>211205000</v>
      </c>
      <c r="K129" s="12">
        <f>+january!K129+february!K129+march!K129+april!K129+may!K129+june!K129+july!K129+august!K129+september!K129+'october '!K129+november!K129+december!K129</f>
        <v>178848140.15000001</v>
      </c>
      <c r="L129" s="12">
        <f>+J129-K129</f>
        <v>32356859.849999994</v>
      </c>
      <c r="M129" s="12"/>
      <c r="N129" s="12">
        <f>+january!N129+february!N129+march!N129+april!N129+may!N129+june!N129+july!N129+august!N129+september!N129+'october '!N129+november!N129+december!N129</f>
        <v>34176260.659999996</v>
      </c>
      <c r="O129" s="12">
        <f>+january!O129+february!O129+march!O129+april!O129+may!O129+june!O129+july!O129+august!O129+september!O129+'october '!O129+november!O129+december!O129</f>
        <v>34128999.410000004</v>
      </c>
      <c r="P129" s="12">
        <f>+N129-O129</f>
        <v>47261.249999992549</v>
      </c>
      <c r="Q129" s="13"/>
      <c r="R129" s="12">
        <f t="shared" ref="R129:S131" si="66">+F129+J129+N129</f>
        <v>550087434.65999997</v>
      </c>
      <c r="S129" s="12">
        <f t="shared" si="66"/>
        <v>510328422.05000001</v>
      </c>
      <c r="T129" s="14">
        <f>+R129-S129</f>
        <v>39759012.609999955</v>
      </c>
      <c r="U129" s="17">
        <f t="shared" si="34"/>
        <v>0.92772237628991772</v>
      </c>
    </row>
    <row r="130" spans="2:21" ht="27.75" customHeight="1">
      <c r="B130" s="18"/>
      <c r="C130" s="10"/>
      <c r="D130" s="10"/>
      <c r="E130" s="22" t="s">
        <v>119</v>
      </c>
      <c r="F130" s="12">
        <f>+january!F130+february!F130+march!F130+april!F130+may!F130+june!F130+july!F130+august!F130+september!F130+'october '!F130+november!F130+december!F130</f>
        <v>590611719</v>
      </c>
      <c r="G130" s="12">
        <f>+january!G130+february!G130+march!G130+april!G130+may!G130+june!G130+july!G130+august!G130+september!G130+'october '!G130+november!G130+december!G130</f>
        <v>593431413.3499999</v>
      </c>
      <c r="H130" s="12">
        <f>+F130-G130</f>
        <v>-2819694.3499999046</v>
      </c>
      <c r="I130" s="13"/>
      <c r="J130" s="12">
        <f>+january!J130+february!J130+march!J130+april!J130+may!J130+june!J130+july!J130+august!J130+september!J130+'october '!J130+november!J130+december!J130</f>
        <v>25003296</v>
      </c>
      <c r="K130" s="12">
        <f>+january!K130+february!K130+march!K130+april!K130+may!K130+june!K130+july!K130+august!K130+september!K130+'october '!K130+november!K130+december!K130</f>
        <v>14792800.35</v>
      </c>
      <c r="L130" s="12">
        <f>+J130-K130</f>
        <v>10210495.65</v>
      </c>
      <c r="M130" s="12"/>
      <c r="N130" s="12">
        <f>+january!N130+february!N130+march!N130+april!N130+may!N130+june!N130+july!N130+august!N130+september!N130+'october '!N130+november!N130+december!N130</f>
        <v>787176</v>
      </c>
      <c r="O130" s="12">
        <f>+january!O130+february!O130+march!O130+april!O130+may!O130+june!O130+july!O130+august!O130+september!O130+'october '!O130+november!O130+december!O130</f>
        <v>787175.18</v>
      </c>
      <c r="P130" s="12">
        <f>+N130-O130</f>
        <v>0.81999999994877726</v>
      </c>
      <c r="Q130" s="13"/>
      <c r="R130" s="12">
        <f t="shared" si="66"/>
        <v>616402191</v>
      </c>
      <c r="S130" s="12">
        <f t="shared" si="66"/>
        <v>609011388.87999988</v>
      </c>
      <c r="T130" s="14">
        <f>+R130-S130</f>
        <v>7390802.120000124</v>
      </c>
      <c r="U130" s="17">
        <f t="shared" si="34"/>
        <v>0.98800977311905736</v>
      </c>
    </row>
    <row r="131" spans="2:21" ht="24.95" customHeight="1">
      <c r="B131" s="18"/>
      <c r="C131" s="10"/>
      <c r="D131" s="10"/>
      <c r="E131" s="28" t="s">
        <v>120</v>
      </c>
      <c r="F131" s="12">
        <f>+january!F131+february!F131+march!F131+april!F131+may!F131+june!F131+july!F131+august!F131+september!F131+'october '!F131+november!F131+december!F131</f>
        <v>49105625</v>
      </c>
      <c r="G131" s="12">
        <f>+january!G131+february!G131+march!G131+april!G131+may!G131+june!G131+july!G131+august!G131+september!G131+'october '!G131+november!G131+december!G131</f>
        <v>49097116.629999995</v>
      </c>
      <c r="H131" s="12">
        <f>+F131-G131</f>
        <v>8508.3700000047684</v>
      </c>
      <c r="I131" s="13"/>
      <c r="J131" s="12">
        <f>+january!J131+february!J131+march!J131+april!J131+may!J131+june!J131+july!J131+august!J131+september!J131+'october '!J131+november!J131+december!J131</f>
        <v>1965000</v>
      </c>
      <c r="K131" s="12">
        <f>+january!K131+february!K131+march!K131+april!K131+may!K131+june!K131+july!K131+august!K131+september!K131+'october '!K131+november!K131+december!K131</f>
        <v>1972197.5499999998</v>
      </c>
      <c r="L131" s="12">
        <f>+J131-K131</f>
        <v>-7197.5499999998137</v>
      </c>
      <c r="M131" s="12"/>
      <c r="N131" s="12">
        <f>+january!N131+february!N131+march!N131+april!N131+may!N131+june!N131+july!N131+august!N131+september!N131+'october '!N131+november!N131+december!N131</f>
        <v>0</v>
      </c>
      <c r="O131" s="12">
        <f>+january!O131+february!O131+march!O131+april!O131+may!O131+june!O131+july!O131+august!O131+september!O131+'october '!O131+november!O131+december!O131</f>
        <v>0</v>
      </c>
      <c r="P131" s="12">
        <f>+N131-O131</f>
        <v>0</v>
      </c>
      <c r="Q131" s="13"/>
      <c r="R131" s="12">
        <f t="shared" si="66"/>
        <v>51070625</v>
      </c>
      <c r="S131" s="12">
        <f t="shared" si="66"/>
        <v>51069314.179999992</v>
      </c>
      <c r="T131" s="14">
        <f>+R131-S131</f>
        <v>1310.8200000077486</v>
      </c>
      <c r="U131" s="17">
        <f t="shared" si="34"/>
        <v>0.99997433319055706</v>
      </c>
    </row>
    <row r="132" spans="2:21" ht="24.95" customHeight="1">
      <c r="B132" s="18"/>
      <c r="C132" s="10"/>
      <c r="D132" s="10"/>
      <c r="E132" s="28"/>
      <c r="F132" s="12">
        <f>+january!F132+february!F132+march!F132+april!F132+may!F132+june!F132+july!F132+august!F132+september!F132+'october '!F132+november!F132+december!F132</f>
        <v>0</v>
      </c>
      <c r="G132" s="12">
        <f>+january!G132+february!G132+march!G132+april!G132+may!G132+june!G132+july!G132+august!G132+september!G132+'october '!G132+november!G132+december!G132</f>
        <v>0</v>
      </c>
      <c r="H132" s="12"/>
      <c r="I132" s="13"/>
      <c r="J132" s="12">
        <f>+january!J132+february!J132+march!J132+april!J132+may!J132+june!J132+july!J132+august!J132+september!J132+'october '!J132+november!J132+december!J132</f>
        <v>0</v>
      </c>
      <c r="K132" s="12">
        <f>+january!K132+february!K132+march!K132+april!K132+may!K132+june!K132+july!K132+august!K132+september!K132+'october '!K132+november!K132+december!K132</f>
        <v>0</v>
      </c>
      <c r="L132" s="12"/>
      <c r="M132" s="12"/>
      <c r="N132" s="12">
        <f>+january!N132+february!N132+march!N132+april!N132+may!N132+june!N132+july!N132+august!N132+september!N132+'october '!N132+november!N132+december!N132</f>
        <v>0</v>
      </c>
      <c r="O132" s="12">
        <f>+january!O132+february!O132+march!O132+april!O132+may!O132+june!O132+july!O132+august!O132+september!O132+'october '!O132+november!O132+december!O132</f>
        <v>0</v>
      </c>
      <c r="P132" s="12"/>
      <c r="Q132" s="13"/>
      <c r="R132" s="12"/>
      <c r="S132" s="12"/>
      <c r="T132" s="14"/>
      <c r="U132" s="17"/>
    </row>
    <row r="133" spans="2:21" ht="24.95" customHeight="1">
      <c r="B133" s="18"/>
      <c r="C133" s="20" t="s">
        <v>121</v>
      </c>
      <c r="D133" s="20"/>
      <c r="E133" s="10"/>
      <c r="F133" s="12">
        <f>+january!F133+february!F133+march!F133+april!F133+may!F133+june!F133+july!F133+august!F133+september!F133+'october '!F133+november!F133+december!F133</f>
        <v>0</v>
      </c>
      <c r="G133" s="12">
        <f>+january!G133+february!G133+march!G133+april!G133+may!G133+june!G133+july!G133+august!G133+september!G133+'october '!G133+november!G133+december!G133</f>
        <v>0</v>
      </c>
      <c r="H133" s="12"/>
      <c r="I133" s="13"/>
      <c r="J133" s="12">
        <f>+january!J133+february!J133+march!J133+april!J133+may!J133+june!J133+july!J133+august!J133+september!J133+'october '!J133+november!J133+december!J133</f>
        <v>0</v>
      </c>
      <c r="K133" s="12">
        <f>+january!K133+february!K133+march!K133+april!K133+may!K133+june!K133+july!K133+august!K133+september!K133+'october '!K133+november!K133+december!K133</f>
        <v>0</v>
      </c>
      <c r="L133" s="12"/>
      <c r="M133" s="12"/>
      <c r="N133" s="12">
        <f>+january!N133+february!N133+march!N133+april!N133+may!N133+june!N133+july!N133+august!N133+september!N133+'october '!N133+november!N133+december!N133</f>
        <v>0</v>
      </c>
      <c r="O133" s="12">
        <f>+january!O133+february!O133+march!O133+april!O133+may!O133+june!O133+july!O133+august!O133+september!O133+'october '!O133+november!O133+december!O133</f>
        <v>0</v>
      </c>
      <c r="P133" s="12"/>
      <c r="Q133" s="13"/>
      <c r="R133" s="12"/>
      <c r="S133" s="12"/>
      <c r="T133" s="14"/>
      <c r="U133" s="17"/>
    </row>
    <row r="134" spans="2:21" ht="24.95" customHeight="1">
      <c r="B134" s="18"/>
      <c r="C134" s="20"/>
      <c r="D134" s="20"/>
      <c r="E134" s="10" t="s">
        <v>122</v>
      </c>
      <c r="F134" s="12">
        <f>+january!F134+february!F134+march!F134+april!F134+may!F134+june!F134+july!F134+august!F134+september!F134+'october '!F134+november!F134+december!F134</f>
        <v>593079190.30999994</v>
      </c>
      <c r="G134" s="12">
        <f>+january!G134+february!G134+march!G134+april!G134+may!G134+june!G134+july!G134+august!G134+september!G134+'october '!G134+november!G134+december!G134</f>
        <v>385622835.76999992</v>
      </c>
      <c r="H134" s="12">
        <f>+F134-G134</f>
        <v>207456354.54000002</v>
      </c>
      <c r="I134" s="13"/>
      <c r="J134" s="12">
        <f>+january!J134+february!J134+march!J134+april!J134+may!J134+june!J134+july!J134+august!J134+september!J134+'october '!J134+november!J134+december!J134</f>
        <v>40140561</v>
      </c>
      <c r="K134" s="12">
        <f>+january!K134+february!K134+march!K134+april!K134+may!K134+june!K134+july!K134+august!K134+september!K134+'october '!K134+november!K134+december!K134</f>
        <v>60343971.170000002</v>
      </c>
      <c r="L134" s="12">
        <f>+J134-K134</f>
        <v>-20203410.170000002</v>
      </c>
      <c r="M134" s="12"/>
      <c r="N134" s="12">
        <f>+january!N134+february!N134+march!N134+april!N134+may!N134+june!N134+july!N134+august!N134+september!N134+'october '!N134+november!N134+december!N134</f>
        <v>13003078.439999999</v>
      </c>
      <c r="O134" s="12">
        <f>+january!O134+february!O134+march!O134+april!O134+may!O134+june!O134+july!O134+august!O134+september!O134+'october '!O134+november!O134+december!O134</f>
        <v>13003078.439999999</v>
      </c>
      <c r="P134" s="12">
        <f>+N134-O134</f>
        <v>0</v>
      </c>
      <c r="Q134" s="13"/>
      <c r="R134" s="12">
        <f t="shared" ref="R134:S136" si="67">+F134+J134+N134</f>
        <v>646222829.75</v>
      </c>
      <c r="S134" s="12">
        <f t="shared" si="67"/>
        <v>458969885.37999994</v>
      </c>
      <c r="T134" s="14">
        <f>+R134-S134</f>
        <v>187252944.37000006</v>
      </c>
      <c r="U134" s="17">
        <f t="shared" si="34"/>
        <v>0.71023471200724775</v>
      </c>
    </row>
    <row r="135" spans="2:21" ht="27.75" customHeight="1">
      <c r="B135" s="18"/>
      <c r="C135" s="10"/>
      <c r="D135" s="10"/>
      <c r="E135" s="22" t="s">
        <v>123</v>
      </c>
      <c r="F135" s="12">
        <f>+january!F135+february!F135+march!F135+april!F135+may!F135+june!F135+july!F135+august!F135+september!F135+'october '!F135+november!F135+december!F135</f>
        <v>302829229</v>
      </c>
      <c r="G135" s="12">
        <f>+january!G135+february!G135+march!G135+april!G135+may!G135+june!G135+july!G135+august!G135+september!G135+'october '!G135+november!G135+december!G135</f>
        <v>166756798.09999996</v>
      </c>
      <c r="H135" s="12">
        <f>+F135-G135</f>
        <v>136072430.90000004</v>
      </c>
      <c r="I135" s="13"/>
      <c r="J135" s="12">
        <f>+january!J135+february!J135+march!J135+april!J135+may!J135+june!J135+july!J135+august!J135+september!J135+'october '!J135+november!J135+december!J135</f>
        <v>17659607</v>
      </c>
      <c r="K135" s="12">
        <f>+january!K135+february!K135+march!K135+april!K135+may!K135+june!K135+july!K135+august!K135+september!K135+'october '!K135+november!K135+december!K135</f>
        <v>14385522.01</v>
      </c>
      <c r="L135" s="12">
        <f>+J135-K135</f>
        <v>3274084.99</v>
      </c>
      <c r="M135" s="12"/>
      <c r="N135" s="12">
        <f>+january!N135+february!N135+march!N135+april!N135+may!N135+june!N135+july!N135+august!N135+september!N135+'october '!N135+november!N135+december!N135</f>
        <v>1777243</v>
      </c>
      <c r="O135" s="12">
        <f>+january!O135+february!O135+march!O135+april!O135+may!O135+june!O135+july!O135+august!O135+september!O135+'october '!O135+november!O135+december!O135</f>
        <v>1777243</v>
      </c>
      <c r="P135" s="12">
        <f>+N135-O135</f>
        <v>0</v>
      </c>
      <c r="Q135" s="13"/>
      <c r="R135" s="12">
        <f t="shared" si="67"/>
        <v>322266079</v>
      </c>
      <c r="S135" s="12">
        <f t="shared" si="67"/>
        <v>182919563.10999995</v>
      </c>
      <c r="T135" s="14">
        <f>+R135-S135</f>
        <v>139346515.89000005</v>
      </c>
      <c r="U135" s="17">
        <f t="shared" si="34"/>
        <v>0.56760414772043055</v>
      </c>
    </row>
    <row r="136" spans="2:21" ht="27.75" customHeight="1">
      <c r="B136" s="18"/>
      <c r="C136" s="10"/>
      <c r="D136" s="10"/>
      <c r="E136" s="22" t="s">
        <v>124</v>
      </c>
      <c r="F136" s="12">
        <f>+january!F136+february!F136+march!F136+april!F136+may!F136+june!F136+july!F136+august!F136+september!F136+'october '!F136+november!F136+december!F136</f>
        <v>185019393</v>
      </c>
      <c r="G136" s="12">
        <f>+january!G136+february!G136+march!G136+april!G136+may!G136+june!G136+july!G136+august!G136+september!G136+'october '!G136+november!G136+december!G136</f>
        <v>94294312</v>
      </c>
      <c r="H136" s="12">
        <f>+F136-G136</f>
        <v>90725081</v>
      </c>
      <c r="I136" s="13"/>
      <c r="J136" s="12">
        <f>+january!J136+february!J136+march!J136+april!J136+may!J136+june!J136+july!J136+august!J136+september!J136+'october '!J136+november!J136+december!J136</f>
        <v>1192500</v>
      </c>
      <c r="K136" s="12">
        <f>+january!K136+february!K136+march!K136+april!K136+may!K136+june!K136+july!K136+august!K136+september!K136+'october '!K136+november!K136+december!K136</f>
        <v>1026000</v>
      </c>
      <c r="L136" s="12">
        <f>+J136-K136</f>
        <v>166500</v>
      </c>
      <c r="M136" s="12"/>
      <c r="N136" s="12">
        <f>+january!N136+february!N136+march!N136+april!N136+may!N136+june!N136+july!N136+august!N136+september!N136+'october '!N136+november!N136+december!N136</f>
        <v>0</v>
      </c>
      <c r="O136" s="12">
        <f>+january!O136+february!O136+march!O136+april!O136+may!O136+june!O136+july!O136+august!O136+september!O136+'october '!O136+november!O136+december!O136</f>
        <v>0</v>
      </c>
      <c r="P136" s="12">
        <f>+N136-O136</f>
        <v>0</v>
      </c>
      <c r="Q136" s="13"/>
      <c r="R136" s="12">
        <f t="shared" si="67"/>
        <v>186211893</v>
      </c>
      <c r="S136" s="12">
        <f t="shared" si="67"/>
        <v>95320312</v>
      </c>
      <c r="T136" s="14">
        <f>+R136-S136</f>
        <v>90891581</v>
      </c>
      <c r="U136" s="17">
        <f t="shared" si="34"/>
        <v>0.51189164378453533</v>
      </c>
    </row>
    <row r="137" spans="2:21" ht="27.75" customHeight="1">
      <c r="B137" s="18"/>
      <c r="C137" s="10"/>
      <c r="D137" s="10"/>
      <c r="E137" s="31" t="s">
        <v>51</v>
      </c>
      <c r="F137" s="32">
        <f t="shared" ref="F137:S137" si="68">SUM(F108:F136)</f>
        <v>6530485981.6900005</v>
      </c>
      <c r="G137" s="32">
        <f t="shared" si="68"/>
        <v>5449818691.8500004</v>
      </c>
      <c r="H137" s="32">
        <f t="shared" si="68"/>
        <v>1080667289.8400002</v>
      </c>
      <c r="I137" s="32">
        <f t="shared" si="68"/>
        <v>0</v>
      </c>
      <c r="J137" s="32">
        <f t="shared" ref="J137:K137" si="69">SUM(J108:J136)</f>
        <v>789942613.24000001</v>
      </c>
      <c r="K137" s="32">
        <f t="shared" si="69"/>
        <v>675540017.5999999</v>
      </c>
      <c r="L137" s="32">
        <f>SUM(L108:L136)</f>
        <v>114402595.64</v>
      </c>
      <c r="M137" s="32">
        <f t="shared" si="68"/>
        <v>0</v>
      </c>
      <c r="N137" s="32">
        <f t="shared" ref="N137:O137" si="70">SUM(N108:N136)</f>
        <v>216966002.94</v>
      </c>
      <c r="O137" s="32">
        <f t="shared" si="70"/>
        <v>208243925.84999999</v>
      </c>
      <c r="P137" s="32">
        <f>SUM(P108:P136)</f>
        <v>8722077.0899999924</v>
      </c>
      <c r="Q137" s="32">
        <f t="shared" si="68"/>
        <v>0</v>
      </c>
      <c r="R137" s="32">
        <f t="shared" si="68"/>
        <v>7537394597.8699999</v>
      </c>
      <c r="S137" s="32">
        <f t="shared" si="68"/>
        <v>6333602635.3000002</v>
      </c>
      <c r="T137" s="34">
        <f>SUM(T108:T136)</f>
        <v>1203791962.5700004</v>
      </c>
      <c r="U137" s="17">
        <f t="shared" si="34"/>
        <v>0.84029070696256492</v>
      </c>
    </row>
    <row r="138" spans="2:21" ht="24.95" customHeight="1">
      <c r="B138" s="18"/>
      <c r="C138" s="10"/>
      <c r="D138" s="10"/>
      <c r="E138" s="22"/>
      <c r="F138" s="12"/>
      <c r="G138" s="12"/>
      <c r="H138" s="12"/>
      <c r="I138" s="13"/>
      <c r="J138" s="12"/>
      <c r="K138" s="12"/>
      <c r="L138" s="12"/>
      <c r="M138" s="12"/>
      <c r="N138" s="12"/>
      <c r="O138" s="12"/>
      <c r="P138" s="12"/>
      <c r="Q138" s="13"/>
      <c r="R138" s="12"/>
      <c r="S138" s="12"/>
      <c r="T138" s="14"/>
      <c r="U138" s="17"/>
    </row>
    <row r="139" spans="2:21" ht="27.75" customHeight="1">
      <c r="B139" s="18"/>
      <c r="C139" s="24" t="s">
        <v>147</v>
      </c>
      <c r="D139" s="10"/>
      <c r="E139" s="22"/>
      <c r="F139" s="32"/>
      <c r="G139" s="32"/>
      <c r="H139" s="32"/>
      <c r="I139" s="33"/>
      <c r="J139" s="32"/>
      <c r="K139" s="32"/>
      <c r="L139" s="32"/>
      <c r="M139" s="32"/>
      <c r="N139" s="32"/>
      <c r="O139" s="32"/>
      <c r="P139" s="32"/>
      <c r="Q139" s="33"/>
      <c r="R139" s="32"/>
      <c r="S139" s="32"/>
      <c r="T139" s="34"/>
      <c r="U139" s="17"/>
    </row>
    <row r="140" spans="2:21" ht="27.75" customHeight="1">
      <c r="B140" s="18"/>
      <c r="C140" s="10"/>
      <c r="D140" s="10"/>
      <c r="E140" s="10" t="s">
        <v>148</v>
      </c>
      <c r="F140" s="12">
        <f>+january!F140+february!F140+march!F140+april!F140+may!F140+june!F140+july!F140+august!F140+september!F140+'october '!F140+november!F140+december!F140</f>
        <v>415423500</v>
      </c>
      <c r="G140" s="12">
        <f>+january!G140+february!G140+march!G140+april!G140+may!G140+june!G140+july!G140+august!G140+september!G140+'october '!G140+november!G140+december!G140</f>
        <v>289998647.25999999</v>
      </c>
      <c r="H140" s="12">
        <f>+F140-G140</f>
        <v>125424852.74000001</v>
      </c>
      <c r="I140" s="33"/>
      <c r="J140" s="12">
        <f>+january!J140+february!J140+march!J140+april!J140+may!J140+june!J140+july!J140+august!J140+september!J140+'october '!J140+november!J140+december!J140</f>
        <v>0</v>
      </c>
      <c r="K140" s="12">
        <f>+january!K140+february!K140+march!K140+april!K140+may!K140+june!K140+july!K140+august!K140+september!K140+'october '!K140+november!K140+december!K140</f>
        <v>0</v>
      </c>
      <c r="L140" s="12">
        <f>+J140-K140</f>
        <v>0</v>
      </c>
      <c r="M140" s="32"/>
      <c r="N140" s="12">
        <f>+january!N140+february!N140+march!N140+april!N140+may!N140+june!N140+july!N140+august!N140+september!N140+'october '!N140+november!N140+december!N140</f>
        <v>0</v>
      </c>
      <c r="O140" s="12">
        <f>+january!O140+february!O140+march!O140+april!O140+may!O140+june!O140+july!O140+august!O140+september!O140+'october '!O140+november!O140+december!O140</f>
        <v>0</v>
      </c>
      <c r="P140" s="12">
        <f>+N140-O140</f>
        <v>0</v>
      </c>
      <c r="Q140" s="33"/>
      <c r="R140" s="12">
        <f t="shared" ref="R140:S141" si="71">+F140+J140+N140</f>
        <v>415423500</v>
      </c>
      <c r="S140" s="12">
        <f t="shared" si="71"/>
        <v>289998647.25999999</v>
      </c>
      <c r="T140" s="14">
        <f>+R140-S140</f>
        <v>125424852.74000001</v>
      </c>
      <c r="U140" s="17">
        <f t="shared" ref="U140:U141" si="72">+S140/R140</f>
        <v>0.69807954355013613</v>
      </c>
    </row>
    <row r="141" spans="2:21" ht="27.75" customHeight="1">
      <c r="B141" s="18"/>
      <c r="C141" s="10"/>
      <c r="D141" s="10"/>
      <c r="E141" s="10" t="s">
        <v>149</v>
      </c>
      <c r="F141" s="12">
        <f>+january!F141+february!F141+march!F141+april!F141+may!F141+june!F141+july!F141+august!F141+september!F141+'october '!F141+november!F141+december!F141</f>
        <v>338764247</v>
      </c>
      <c r="G141" s="12">
        <f>+january!G141+february!G141+march!G141+april!G141+may!G141+june!G141+july!G141+august!G141+september!G141+'october '!G141+november!G141+december!G141</f>
        <v>279991941.70999998</v>
      </c>
      <c r="H141" s="12">
        <f>+F141-G141</f>
        <v>58772305.290000021</v>
      </c>
      <c r="I141" s="33"/>
      <c r="J141" s="12">
        <f>+january!J141+february!J141+march!J141+april!J141+may!J141+june!J141+july!J141+august!J141+september!J141+'october '!J141+november!J141+december!J141</f>
        <v>0</v>
      </c>
      <c r="K141" s="12">
        <f>+january!K141+february!K141+march!K141+april!K141+may!K141+june!K141+july!K141+august!K141+september!K141+'october '!K141+november!K141+december!K141</f>
        <v>0</v>
      </c>
      <c r="L141" s="12">
        <f>+J141-K141</f>
        <v>0</v>
      </c>
      <c r="M141" s="32"/>
      <c r="N141" s="12">
        <f>+january!N141+february!N141+march!N141+april!N141+may!N141+june!N141+july!N141+august!N141+september!N141+'october '!N141+november!N141+december!N141</f>
        <v>1420088</v>
      </c>
      <c r="O141" s="12">
        <f>+january!O141+february!O141+march!O141+april!O141+may!O141+june!O141+july!O141+august!O141+september!O141+'october '!O141+november!O141+december!O141</f>
        <v>4049284.2800000003</v>
      </c>
      <c r="P141" s="12">
        <f>+N141-O141</f>
        <v>-2629196.2800000003</v>
      </c>
      <c r="Q141" s="33"/>
      <c r="R141" s="12">
        <f t="shared" si="71"/>
        <v>340184335</v>
      </c>
      <c r="S141" s="12">
        <f t="shared" si="71"/>
        <v>284041225.98999995</v>
      </c>
      <c r="T141" s="14">
        <f>+R141-S141</f>
        <v>56143109.01000005</v>
      </c>
      <c r="U141" s="17">
        <f t="shared" si="72"/>
        <v>0.83496268571567223</v>
      </c>
    </row>
    <row r="142" spans="2:21" ht="24.95" customHeight="1">
      <c r="B142" s="18"/>
      <c r="C142" s="10"/>
      <c r="D142" s="10"/>
      <c r="E142" s="22"/>
      <c r="F142" s="12"/>
      <c r="G142" s="12"/>
      <c r="H142" s="12"/>
      <c r="I142" s="13"/>
      <c r="J142" s="12"/>
      <c r="K142" s="12"/>
      <c r="L142" s="12"/>
      <c r="M142" s="12"/>
      <c r="N142" s="12"/>
      <c r="O142" s="12"/>
      <c r="P142" s="12"/>
      <c r="Q142" s="13"/>
      <c r="R142" s="12"/>
      <c r="S142" s="12"/>
      <c r="T142" s="14"/>
      <c r="U142" s="17"/>
    </row>
    <row r="143" spans="2:21" s="48" customFormat="1" ht="15.75" thickBot="1">
      <c r="B143" s="44"/>
      <c r="C143" s="24"/>
      <c r="D143" s="24"/>
      <c r="E143" s="45" t="s">
        <v>125</v>
      </c>
      <c r="F143" s="46">
        <f>+F8+F51+F81+F104+F137+F49+F50+F140+F141</f>
        <v>49005643605.748573</v>
      </c>
      <c r="G143" s="46">
        <f t="shared" ref="G143:H143" si="73">+G8+G51+G81+G104+G137+G49+G50+G140+G141</f>
        <v>33120314997.807941</v>
      </c>
      <c r="H143" s="46">
        <f t="shared" si="73"/>
        <v>15885328607.94063</v>
      </c>
      <c r="I143" s="46">
        <f t="shared" ref="I143:Q143" si="74">+I8+I51+I81+I104+I137+I49+I50</f>
        <v>2208000</v>
      </c>
      <c r="J143" s="46">
        <f>+J8+J51+J81+J104+J137+J49+J50+J140+J141</f>
        <v>3908813995.8299999</v>
      </c>
      <c r="K143" s="46">
        <f t="shared" ref="K143:L143" si="75">+K8+K51+K81+K104+K137+K49+K50+K140+K141</f>
        <v>3593931774.5499997</v>
      </c>
      <c r="L143" s="46">
        <f t="shared" si="75"/>
        <v>314882221.28000015</v>
      </c>
      <c r="M143" s="46">
        <f t="shared" si="74"/>
        <v>0</v>
      </c>
      <c r="N143" s="46">
        <f>+N8+N51+N81+N104+N137+N49+N50+N140+N141</f>
        <v>1521736423.9400003</v>
      </c>
      <c r="O143" s="46">
        <f t="shared" ref="O143:P143" si="76">+O8+O51+O81+O104+O137+O49+O50+O140+O141</f>
        <v>1459380927.3200002</v>
      </c>
      <c r="P143" s="46">
        <f t="shared" si="76"/>
        <v>62355496.620000057</v>
      </c>
      <c r="Q143" s="46">
        <f t="shared" si="74"/>
        <v>0</v>
      </c>
      <c r="R143" s="46">
        <f>+R8+R51+R81+R104+R137+R49+R50+R140+R141</f>
        <v>54436194025.518578</v>
      </c>
      <c r="S143" s="46">
        <f t="shared" ref="S143:T143" si="77">+S8+S51+S81+S104+S137+S49+S50+S140+S141</f>
        <v>38173627699.677948</v>
      </c>
      <c r="T143" s="46">
        <f t="shared" si="77"/>
        <v>16262566325.840633</v>
      </c>
      <c r="U143" s="47">
        <f>+S143/R143</f>
        <v>0.70125453079586952</v>
      </c>
    </row>
    <row r="144" spans="2:21" ht="15.75" thickTop="1" thickBot="1">
      <c r="B144" s="49"/>
      <c r="C144" s="50"/>
      <c r="D144" s="50"/>
      <c r="E144" s="51"/>
      <c r="F144" s="52"/>
      <c r="G144" s="52"/>
      <c r="H144" s="52"/>
      <c r="I144" s="53"/>
      <c r="J144" s="54"/>
      <c r="K144" s="54"/>
      <c r="L144" s="54"/>
      <c r="M144" s="54"/>
      <c r="N144" s="54"/>
      <c r="O144" s="54"/>
      <c r="P144" s="54"/>
      <c r="Q144" s="53"/>
      <c r="R144" s="54"/>
      <c r="S144" s="54"/>
      <c r="T144" s="55"/>
      <c r="U144" s="56"/>
    </row>
    <row r="145" spans="6:20" ht="24.95" customHeight="1">
      <c r="F145" s="30">
        <f>+F143+J143</f>
        <v>52914457601.578575</v>
      </c>
      <c r="G145" s="30">
        <f>+G143+K143</f>
        <v>36714246772.357941</v>
      </c>
      <c r="H145" s="30">
        <f>+F145-G145</f>
        <v>16200210829.220634</v>
      </c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6:20" ht="24.95" customHeight="1">
      <c r="F146" s="58" t="s">
        <v>126</v>
      </c>
      <c r="J146" s="58" t="s">
        <v>127</v>
      </c>
      <c r="K146" s="30"/>
      <c r="N146" s="58" t="s">
        <v>128</v>
      </c>
      <c r="R146" s="13"/>
      <c r="S146" s="13"/>
      <c r="T146" s="13"/>
    </row>
    <row r="147" spans="6:20" ht="24.95" customHeight="1">
      <c r="R147" s="13"/>
      <c r="S147" s="13"/>
      <c r="T147" s="13"/>
    </row>
    <row r="148" spans="6:20" ht="24.95" customHeight="1">
      <c r="F148" s="59" t="s">
        <v>129</v>
      </c>
      <c r="J148" s="59" t="s">
        <v>130</v>
      </c>
      <c r="N148" s="59" t="s">
        <v>300</v>
      </c>
      <c r="R148" s="30"/>
      <c r="S148" s="30"/>
      <c r="T148" s="30"/>
    </row>
    <row r="149" spans="6:20" ht="17.25" customHeight="1">
      <c r="F149" s="58" t="s">
        <v>296</v>
      </c>
      <c r="J149" s="58" t="s">
        <v>133</v>
      </c>
      <c r="N149" s="58" t="s">
        <v>301</v>
      </c>
    </row>
  </sheetData>
  <autoFilter ref="B7:U140"/>
  <mergeCells count="11">
    <mergeCell ref="U5:U6"/>
    <mergeCell ref="C11:E11"/>
    <mergeCell ref="B1:T1"/>
    <mergeCell ref="B2:T2"/>
    <mergeCell ref="B3:T3"/>
    <mergeCell ref="B4:T4"/>
    <mergeCell ref="B5:E6"/>
    <mergeCell ref="F5:H5"/>
    <mergeCell ref="J5:L5"/>
    <mergeCell ref="N5:P5"/>
    <mergeCell ref="R5:T5"/>
  </mergeCells>
  <pageMargins left="1.25" right="0" top="0.36" bottom="0.3" header="0.27" footer="0.17"/>
  <pageSetup paperSize="5" scale="55" orientation="landscape" horizontalDpi="0" verticalDpi="0" r:id="rId1"/>
  <headerFooter>
    <oddFooter>&amp;R&amp;"-,Italic"&amp;8Page &amp;P of &amp;N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207"/>
  <sheetViews>
    <sheetView zoomScale="75" zoomScaleNormal="75" workbookViewId="0">
      <pane xSplit="2" ySplit="6" topLeftCell="J193" activePane="bottomRight" state="frozen"/>
      <selection pane="topRight" activeCell="F1" sqref="F1"/>
      <selection pane="bottomLeft" activeCell="A7" sqref="A7"/>
      <selection pane="bottomRight" activeCell="Q203" sqref="Q203"/>
    </sheetView>
  </sheetViews>
  <sheetFormatPr defaultRowHeight="24.95" customHeight="1"/>
  <cols>
    <col min="1" max="1" width="8.5703125" style="2" customWidth="1"/>
    <col min="2" max="2" width="33.7109375" style="57" customWidth="1"/>
    <col min="3" max="3" width="19.7109375" style="2" customWidth="1"/>
    <col min="4" max="4" width="19.28515625" style="2" customWidth="1"/>
    <col min="5" max="5" width="18.85546875" style="2" customWidth="1"/>
    <col min="6" max="6" width="0.7109375" style="2" customWidth="1"/>
    <col min="7" max="7" width="17.85546875" style="2" customWidth="1"/>
    <col min="8" max="8" width="17.7109375" style="2" customWidth="1"/>
    <col min="9" max="9" width="16.5703125" style="2" customWidth="1"/>
    <col min="10" max="10" width="0.5703125" style="2" customWidth="1"/>
    <col min="11" max="11" width="18.140625" style="2" customWidth="1"/>
    <col min="12" max="12" width="17.7109375" style="2" customWidth="1"/>
    <col min="13" max="13" width="17" style="2" customWidth="1"/>
    <col min="14" max="14" width="0.85546875" style="2" customWidth="1"/>
    <col min="15" max="15" width="19" style="2" customWidth="1"/>
    <col min="16" max="16" width="19.28515625" style="2" customWidth="1"/>
    <col min="17" max="17" width="18.85546875" style="2" customWidth="1"/>
    <col min="18" max="18" width="10.7109375" style="1" customWidth="1"/>
    <col min="19" max="19" width="9.140625" style="2"/>
    <col min="20" max="20" width="13.140625" style="2" bestFit="1" customWidth="1"/>
    <col min="21" max="16384" width="9.140625" style="2"/>
  </cols>
  <sheetData>
    <row r="1" spans="2:18" ht="18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2:18" ht="20.2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2:18" ht="18">
      <c r="B3" s="61" t="s">
        <v>305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2:18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2:18" ht="24.95" customHeight="1">
      <c r="B5" s="144"/>
      <c r="C5" s="140" t="s">
        <v>4</v>
      </c>
      <c r="D5" s="141"/>
      <c r="E5" s="142"/>
      <c r="F5" s="3"/>
      <c r="G5" s="140" t="s">
        <v>5</v>
      </c>
      <c r="H5" s="141"/>
      <c r="I5" s="142"/>
      <c r="J5" s="4"/>
      <c r="K5" s="140" t="s">
        <v>6</v>
      </c>
      <c r="L5" s="141"/>
      <c r="M5" s="142"/>
      <c r="N5" s="3"/>
      <c r="O5" s="140" t="s">
        <v>7</v>
      </c>
      <c r="P5" s="141"/>
      <c r="Q5" s="143"/>
      <c r="R5" s="127" t="s">
        <v>293</v>
      </c>
    </row>
    <row r="6" spans="2:18" s="8" customFormat="1" ht="28.5" customHeight="1" thickBot="1">
      <c r="B6" s="145"/>
      <c r="C6" s="5" t="s">
        <v>9</v>
      </c>
      <c r="D6" s="6" t="s">
        <v>10</v>
      </c>
      <c r="E6" s="5" t="s">
        <v>11</v>
      </c>
      <c r="F6" s="6"/>
      <c r="G6" s="5" t="s">
        <v>12</v>
      </c>
      <c r="H6" s="6" t="s">
        <v>10</v>
      </c>
      <c r="I6" s="5" t="s">
        <v>11</v>
      </c>
      <c r="J6" s="5"/>
      <c r="K6" s="5" t="s">
        <v>9</v>
      </c>
      <c r="L6" s="6" t="s">
        <v>10</v>
      </c>
      <c r="M6" s="5" t="s">
        <v>11</v>
      </c>
      <c r="N6" s="5"/>
      <c r="O6" s="6" t="s">
        <v>13</v>
      </c>
      <c r="P6" s="6" t="s">
        <v>10</v>
      </c>
      <c r="Q6" s="7" t="s">
        <v>11</v>
      </c>
      <c r="R6" s="128"/>
    </row>
    <row r="7" spans="2:18" ht="24.95" customHeight="1">
      <c r="B7" s="63"/>
      <c r="C7" s="12"/>
      <c r="D7" s="12"/>
      <c r="E7" s="12"/>
      <c r="F7" s="13"/>
      <c r="G7" s="12"/>
      <c r="H7" s="12"/>
      <c r="I7" s="12"/>
      <c r="J7" s="12"/>
      <c r="K7" s="12"/>
      <c r="L7" s="12"/>
      <c r="M7" s="12"/>
      <c r="N7" s="13"/>
      <c r="O7" s="12"/>
      <c r="P7" s="12"/>
      <c r="Q7" s="14"/>
      <c r="R7" s="15"/>
    </row>
    <row r="8" spans="2:18" ht="24.95" customHeight="1">
      <c r="B8" s="63"/>
      <c r="C8" s="12"/>
      <c r="D8" s="12"/>
      <c r="E8" s="12"/>
      <c r="F8" s="13"/>
      <c r="G8" s="12"/>
      <c r="H8" s="12"/>
      <c r="I8" s="12"/>
      <c r="J8" s="12"/>
      <c r="K8" s="12"/>
      <c r="L8" s="12"/>
      <c r="M8" s="12"/>
      <c r="N8" s="16"/>
      <c r="O8" s="12"/>
      <c r="P8" s="12"/>
      <c r="Q8" s="14"/>
      <c r="R8" s="17"/>
    </row>
    <row r="9" spans="2:18" ht="24.95" customHeight="1">
      <c r="B9" s="70" t="s">
        <v>150</v>
      </c>
      <c r="C9" s="12"/>
      <c r="D9" s="12"/>
      <c r="E9" s="12"/>
      <c r="F9" s="13"/>
      <c r="G9" s="12"/>
      <c r="H9" s="12"/>
      <c r="I9" s="12"/>
      <c r="J9" s="12"/>
      <c r="K9" s="12"/>
      <c r="L9" s="12"/>
      <c r="M9" s="12"/>
      <c r="N9" s="13"/>
      <c r="O9" s="12"/>
      <c r="P9" s="12"/>
      <c r="Q9" s="14"/>
      <c r="R9" s="17"/>
    </row>
    <row r="10" spans="2:18" ht="24.95" customHeight="1">
      <c r="B10" s="64" t="s">
        <v>14</v>
      </c>
      <c r="C10" s="12">
        <f>+january!F8</f>
        <v>257463200</v>
      </c>
      <c r="D10" s="12">
        <f>+january!G8</f>
        <v>257355417.69999999</v>
      </c>
      <c r="E10" s="12">
        <f t="shared" ref="E10:E19" si="0">+C10-D10</f>
        <v>107782.30000001192</v>
      </c>
      <c r="F10" s="13"/>
      <c r="G10" s="12">
        <f>+january!J8</f>
        <v>0</v>
      </c>
      <c r="H10" s="12">
        <f>+january!K8</f>
        <v>0</v>
      </c>
      <c r="I10" s="12">
        <f t="shared" ref="I10:I19" si="1">+G10-H10</f>
        <v>0</v>
      </c>
      <c r="J10" s="12"/>
      <c r="K10" s="12">
        <f>+january!N8</f>
        <v>5475213</v>
      </c>
      <c r="L10" s="12">
        <f>+january!O8</f>
        <v>0</v>
      </c>
      <c r="M10" s="12">
        <f t="shared" ref="M10:M19" si="2">+K10-L10</f>
        <v>5475213</v>
      </c>
      <c r="N10" s="13"/>
      <c r="O10" s="12">
        <f t="shared" ref="O10:O18" si="3">+C10+G10+K10</f>
        <v>262938413</v>
      </c>
      <c r="P10" s="12">
        <f t="shared" ref="P10:P18" si="4">+D10+H10+L10</f>
        <v>257355417.69999999</v>
      </c>
      <c r="Q10" s="14">
        <f t="shared" ref="Q10:Q18" si="5">+O10-P10</f>
        <v>5582995.3000000119</v>
      </c>
      <c r="R10" s="17">
        <f t="shared" ref="R10:R19" si="6">+P10/O10</f>
        <v>0.97876690881221673</v>
      </c>
    </row>
    <row r="11" spans="2:18" ht="24.95" customHeight="1">
      <c r="B11" s="64" t="s">
        <v>172</v>
      </c>
      <c r="C11" s="12">
        <f>+SUM(january!F13:F17)+SUM(january!F35:F46)</f>
        <v>549933247.89999998</v>
      </c>
      <c r="D11" s="12">
        <f>+SUM(january!G13:G17)+SUM(january!G35:G46)</f>
        <v>396883649.45000005</v>
      </c>
      <c r="E11" s="12">
        <f t="shared" si="0"/>
        <v>153049598.44999993</v>
      </c>
      <c r="F11" s="13"/>
      <c r="G11" s="12">
        <f>+SUM(january!J13:J17)+SUM(january!J35:J46)</f>
        <v>0</v>
      </c>
      <c r="H11" s="12">
        <f>+SUM(january!K13:K17)+SUM(january!K35:K46)</f>
        <v>0</v>
      </c>
      <c r="I11" s="12">
        <f t="shared" si="1"/>
        <v>0</v>
      </c>
      <c r="J11" s="12"/>
      <c r="K11" s="12">
        <f>+SUM(january!N13:N17)+SUM(january!N35:N46)</f>
        <v>1796400</v>
      </c>
      <c r="L11" s="12">
        <f>+SUM(january!O13:O17)+SUM(january!O35:O46)</f>
        <v>0</v>
      </c>
      <c r="M11" s="12">
        <f t="shared" si="2"/>
        <v>1796400</v>
      </c>
      <c r="N11" s="13"/>
      <c r="O11" s="12">
        <f t="shared" si="3"/>
        <v>551729647.89999998</v>
      </c>
      <c r="P11" s="12">
        <f t="shared" si="4"/>
        <v>396883649.45000005</v>
      </c>
      <c r="Q11" s="14">
        <f t="shared" si="5"/>
        <v>154845998.44999993</v>
      </c>
      <c r="R11" s="17">
        <f t="shared" si="6"/>
        <v>0.71934443066567721</v>
      </c>
    </row>
    <row r="12" spans="2:18" ht="24.95" customHeight="1">
      <c r="B12" s="64" t="s">
        <v>170</v>
      </c>
      <c r="C12" s="12">
        <f>+january!F53+SUM(january!F20:F32)</f>
        <v>457650697</v>
      </c>
      <c r="D12" s="12">
        <f>+january!G53+SUM(january!G20:G32)</f>
        <v>361806954.53999996</v>
      </c>
      <c r="E12" s="12">
        <f t="shared" si="0"/>
        <v>95843742.460000038</v>
      </c>
      <c r="F12" s="13"/>
      <c r="G12" s="12">
        <f>+january!J53+SUM(january!J20:J32)</f>
        <v>0</v>
      </c>
      <c r="H12" s="12">
        <f>+january!K53+SUM(january!K20:K32)</f>
        <v>0</v>
      </c>
      <c r="I12" s="12">
        <f t="shared" si="1"/>
        <v>0</v>
      </c>
      <c r="J12" s="12"/>
      <c r="K12" s="12">
        <f>+january!N53+SUM(january!N20:N32)</f>
        <v>73419919</v>
      </c>
      <c r="L12" s="12">
        <f>+january!O53+SUM(january!O20:O32)</f>
        <v>48319636.460000001</v>
      </c>
      <c r="M12" s="12">
        <f t="shared" si="2"/>
        <v>25100282.539999999</v>
      </c>
      <c r="N12" s="13"/>
      <c r="O12" s="12">
        <f t="shared" si="3"/>
        <v>531070616</v>
      </c>
      <c r="P12" s="12">
        <f t="shared" si="4"/>
        <v>410126590.99999994</v>
      </c>
      <c r="Q12" s="14">
        <f t="shared" si="5"/>
        <v>120944025.00000006</v>
      </c>
      <c r="R12" s="17">
        <f t="shared" si="6"/>
        <v>0.77226376049395273</v>
      </c>
    </row>
    <row r="13" spans="2:18" ht="24.95" customHeight="1">
      <c r="B13" s="64" t="s">
        <v>164</v>
      </c>
      <c r="C13" s="12">
        <f>+january!F83</f>
        <v>273811000</v>
      </c>
      <c r="D13" s="12">
        <f>+january!G83</f>
        <v>152586978.09999999</v>
      </c>
      <c r="E13" s="12">
        <f t="shared" si="0"/>
        <v>121224021.90000001</v>
      </c>
      <c r="F13" s="13"/>
      <c r="G13" s="12">
        <f>+january!J83</f>
        <v>0</v>
      </c>
      <c r="H13" s="12">
        <f>+january!K83</f>
        <v>0</v>
      </c>
      <c r="I13" s="12">
        <f t="shared" si="1"/>
        <v>0</v>
      </c>
      <c r="J13" s="12"/>
      <c r="K13" s="12">
        <f>+january!N83</f>
        <v>1123000</v>
      </c>
      <c r="L13" s="12">
        <f>+january!O83</f>
        <v>24643909.890000001</v>
      </c>
      <c r="M13" s="12">
        <f t="shared" si="2"/>
        <v>-23520909.890000001</v>
      </c>
      <c r="N13" s="13"/>
      <c r="O13" s="12">
        <f t="shared" si="3"/>
        <v>274934000</v>
      </c>
      <c r="P13" s="12">
        <f t="shared" si="4"/>
        <v>177230887.99000001</v>
      </c>
      <c r="Q13" s="14">
        <f t="shared" si="5"/>
        <v>97703112.00999999</v>
      </c>
      <c r="R13" s="17">
        <f t="shared" si="6"/>
        <v>0.64463066768751776</v>
      </c>
    </row>
    <row r="14" spans="2:18" ht="24.95" customHeight="1">
      <c r="B14" s="64" t="s">
        <v>165</v>
      </c>
      <c r="C14" s="12">
        <f>+january!F106</f>
        <v>496476996</v>
      </c>
      <c r="D14" s="12">
        <f>+january!G106</f>
        <v>327999472.9600001</v>
      </c>
      <c r="E14" s="12">
        <f t="shared" si="0"/>
        <v>168477523.0399999</v>
      </c>
      <c r="F14" s="13"/>
      <c r="G14" s="12">
        <f>+january!J106</f>
        <v>9712800</v>
      </c>
      <c r="H14" s="12">
        <f>+january!K106</f>
        <v>8221191.4299999997</v>
      </c>
      <c r="I14" s="12">
        <f t="shared" si="1"/>
        <v>1491608.5700000003</v>
      </c>
      <c r="J14" s="12"/>
      <c r="K14" s="12">
        <f>+january!N106</f>
        <v>38433670</v>
      </c>
      <c r="L14" s="12">
        <f>+january!O106</f>
        <v>38252549.890000001</v>
      </c>
      <c r="M14" s="12">
        <f t="shared" si="2"/>
        <v>181120.1099999994</v>
      </c>
      <c r="N14" s="13"/>
      <c r="O14" s="12">
        <f t="shared" si="3"/>
        <v>544623466</v>
      </c>
      <c r="P14" s="12">
        <f t="shared" si="4"/>
        <v>374473214.28000009</v>
      </c>
      <c r="Q14" s="14">
        <f t="shared" si="5"/>
        <v>170150251.71999991</v>
      </c>
      <c r="R14" s="17">
        <f t="shared" si="6"/>
        <v>0.68758185729734989</v>
      </c>
    </row>
    <row r="15" spans="2:18" ht="24.95" customHeight="1">
      <c r="B15" s="64" t="s">
        <v>166</v>
      </c>
      <c r="C15" s="12">
        <f>+january!F49</f>
        <v>10206000</v>
      </c>
      <c r="D15" s="12">
        <f>+january!G49</f>
        <v>10206000</v>
      </c>
      <c r="E15" s="12">
        <f t="shared" si="0"/>
        <v>0</v>
      </c>
      <c r="F15" s="13"/>
      <c r="G15" s="12">
        <f>+january!J49</f>
        <v>0</v>
      </c>
      <c r="H15" s="12">
        <f>+january!K49</f>
        <v>0</v>
      </c>
      <c r="I15" s="12">
        <f t="shared" si="1"/>
        <v>0</v>
      </c>
      <c r="J15" s="12"/>
      <c r="K15" s="12">
        <f>+january!N49</f>
        <v>0</v>
      </c>
      <c r="L15" s="12">
        <f>+january!O49</f>
        <v>0</v>
      </c>
      <c r="M15" s="12">
        <f t="shared" si="2"/>
        <v>0</v>
      </c>
      <c r="N15" s="13"/>
      <c r="O15" s="12">
        <f t="shared" si="3"/>
        <v>10206000</v>
      </c>
      <c r="P15" s="12">
        <f t="shared" si="4"/>
        <v>10206000</v>
      </c>
      <c r="Q15" s="14">
        <f t="shared" si="5"/>
        <v>0</v>
      </c>
      <c r="R15" s="17">
        <f t="shared" si="6"/>
        <v>1</v>
      </c>
    </row>
    <row r="16" spans="2:18" ht="24.95" customHeight="1">
      <c r="B16" s="64" t="s">
        <v>167</v>
      </c>
      <c r="C16" s="12">
        <f>+january!F50</f>
        <v>34810000</v>
      </c>
      <c r="D16" s="12">
        <f>+january!G50</f>
        <v>34672353.909999996</v>
      </c>
      <c r="E16" s="12">
        <f t="shared" si="0"/>
        <v>137646.09000000358</v>
      </c>
      <c r="F16" s="13"/>
      <c r="G16" s="12">
        <f>+january!J50</f>
        <v>0</v>
      </c>
      <c r="H16" s="12">
        <f>+january!K50</f>
        <v>0</v>
      </c>
      <c r="I16" s="12">
        <f t="shared" si="1"/>
        <v>0</v>
      </c>
      <c r="J16" s="12"/>
      <c r="K16" s="12">
        <f>+january!N50</f>
        <v>0</v>
      </c>
      <c r="L16" s="12">
        <f>+january!O50</f>
        <v>0</v>
      </c>
      <c r="M16" s="12">
        <f t="shared" si="2"/>
        <v>0</v>
      </c>
      <c r="N16" s="13"/>
      <c r="O16" s="12">
        <f t="shared" si="3"/>
        <v>34810000</v>
      </c>
      <c r="P16" s="12">
        <f t="shared" si="4"/>
        <v>34672353.909999996</v>
      </c>
      <c r="Q16" s="14">
        <f t="shared" si="5"/>
        <v>137646.09000000358</v>
      </c>
      <c r="R16" s="17">
        <f t="shared" si="6"/>
        <v>0.99604578885377759</v>
      </c>
    </row>
    <row r="17" spans="2:18" ht="24.95" customHeight="1">
      <c r="B17" s="64" t="s">
        <v>168</v>
      </c>
      <c r="C17" s="12">
        <f>+january!F140</f>
        <v>12018000</v>
      </c>
      <c r="D17" s="12">
        <f>+january!G140</f>
        <v>9417074.7200000007</v>
      </c>
      <c r="E17" s="12">
        <f t="shared" si="0"/>
        <v>2600925.2799999993</v>
      </c>
      <c r="F17" s="13"/>
      <c r="G17" s="12">
        <f>+january!J140</f>
        <v>0</v>
      </c>
      <c r="H17" s="12">
        <f>+january!K140</f>
        <v>0</v>
      </c>
      <c r="I17" s="12">
        <f t="shared" si="1"/>
        <v>0</v>
      </c>
      <c r="J17" s="12"/>
      <c r="K17" s="12">
        <f>+january!N140</f>
        <v>0</v>
      </c>
      <c r="L17" s="12">
        <f>+january!O140</f>
        <v>0</v>
      </c>
      <c r="M17" s="12">
        <f t="shared" si="2"/>
        <v>0</v>
      </c>
      <c r="N17" s="13"/>
      <c r="O17" s="12">
        <f t="shared" si="3"/>
        <v>12018000</v>
      </c>
      <c r="P17" s="12">
        <f t="shared" si="4"/>
        <v>9417074.7200000007</v>
      </c>
      <c r="Q17" s="14">
        <f t="shared" si="5"/>
        <v>2600925.2799999993</v>
      </c>
      <c r="R17" s="17">
        <f t="shared" si="6"/>
        <v>0.78358085538359135</v>
      </c>
    </row>
    <row r="18" spans="2:18" ht="24.95" customHeight="1">
      <c r="B18" s="64" t="s">
        <v>169</v>
      </c>
      <c r="C18" s="12">
        <f>+january!F141</f>
        <v>21739000</v>
      </c>
      <c r="D18" s="12">
        <f>+january!G141</f>
        <v>11020908.35</v>
      </c>
      <c r="E18" s="12">
        <f t="shared" si="0"/>
        <v>10718091.65</v>
      </c>
      <c r="F18" s="13"/>
      <c r="G18" s="12">
        <f>+january!J141</f>
        <v>0</v>
      </c>
      <c r="H18" s="12">
        <f>+january!K141</f>
        <v>0</v>
      </c>
      <c r="I18" s="12">
        <f t="shared" si="1"/>
        <v>0</v>
      </c>
      <c r="J18" s="12"/>
      <c r="K18" s="12">
        <f>+january!N141</f>
        <v>0</v>
      </c>
      <c r="L18" s="12">
        <f>+january!O141</f>
        <v>0</v>
      </c>
      <c r="M18" s="12">
        <f t="shared" si="2"/>
        <v>0</v>
      </c>
      <c r="N18" s="13"/>
      <c r="O18" s="12">
        <f t="shared" si="3"/>
        <v>21739000</v>
      </c>
      <c r="P18" s="12">
        <f t="shared" si="4"/>
        <v>11020908.35</v>
      </c>
      <c r="Q18" s="14">
        <f t="shared" si="5"/>
        <v>10718091.65</v>
      </c>
      <c r="R18" s="17">
        <f t="shared" si="6"/>
        <v>0.50696482588895531</v>
      </c>
    </row>
    <row r="19" spans="2:18" ht="24.95" customHeight="1">
      <c r="B19" s="71" t="s">
        <v>171</v>
      </c>
      <c r="C19" s="12">
        <f>SUM(C10:C18)</f>
        <v>2114108140.9000001</v>
      </c>
      <c r="D19" s="12">
        <f>SUM(D10:D18)</f>
        <v>1561948809.73</v>
      </c>
      <c r="E19" s="12">
        <f t="shared" si="0"/>
        <v>552159331.17000008</v>
      </c>
      <c r="F19" s="13"/>
      <c r="G19" s="12">
        <f>SUM(G10:G18)</f>
        <v>9712800</v>
      </c>
      <c r="H19" s="12">
        <f>SUM(H10:H18)</f>
        <v>8221191.4299999997</v>
      </c>
      <c r="I19" s="12">
        <f t="shared" si="1"/>
        <v>1491608.5700000003</v>
      </c>
      <c r="J19" s="12"/>
      <c r="K19" s="12">
        <f>SUM(K10:K18)</f>
        <v>120248202</v>
      </c>
      <c r="L19" s="12">
        <f>SUM(L10:L18)</f>
        <v>111216096.23999999</v>
      </c>
      <c r="M19" s="12">
        <f t="shared" si="2"/>
        <v>9032105.7600000054</v>
      </c>
      <c r="N19" s="13"/>
      <c r="O19" s="12">
        <f t="shared" ref="O19" si="7">+C19+G19+K19</f>
        <v>2244069142.9000001</v>
      </c>
      <c r="P19" s="12">
        <f t="shared" ref="P19" si="8">+D19+H19+L19</f>
        <v>1681386097.4000001</v>
      </c>
      <c r="Q19" s="14">
        <f t="shared" ref="Q19" si="9">+O19-P19</f>
        <v>562683045.5</v>
      </c>
      <c r="R19" s="17">
        <f t="shared" si="6"/>
        <v>0.74925770568154271</v>
      </c>
    </row>
    <row r="20" spans="2:18" ht="24.95" customHeight="1">
      <c r="B20" s="64"/>
      <c r="C20" s="12"/>
      <c r="D20" s="12"/>
      <c r="E20" s="12"/>
      <c r="F20" s="13"/>
      <c r="G20" s="12"/>
      <c r="H20" s="12"/>
      <c r="I20" s="12"/>
      <c r="J20" s="12"/>
      <c r="K20" s="12"/>
      <c r="L20" s="12"/>
      <c r="M20" s="12"/>
      <c r="N20" s="13"/>
      <c r="O20" s="12"/>
      <c r="P20" s="12"/>
      <c r="Q20" s="14"/>
      <c r="R20" s="17"/>
    </row>
    <row r="21" spans="2:18" ht="24.95" customHeight="1">
      <c r="B21" s="70" t="s">
        <v>151</v>
      </c>
      <c r="C21" s="12"/>
      <c r="D21" s="12"/>
      <c r="E21" s="12"/>
      <c r="F21" s="13"/>
      <c r="G21" s="12"/>
      <c r="H21" s="12"/>
      <c r="I21" s="12"/>
      <c r="J21" s="12"/>
      <c r="K21" s="12"/>
      <c r="L21" s="12"/>
      <c r="M21" s="12"/>
      <c r="N21" s="13"/>
      <c r="O21" s="12"/>
      <c r="P21" s="12"/>
      <c r="Q21" s="14"/>
      <c r="R21" s="17"/>
    </row>
    <row r="22" spans="2:18" ht="24.95" customHeight="1">
      <c r="B22" s="64" t="s">
        <v>14</v>
      </c>
      <c r="C22" s="12">
        <f>+february!F8</f>
        <v>257485382.09999999</v>
      </c>
      <c r="D22" s="12">
        <f>+february!G8</f>
        <v>257593507.78999999</v>
      </c>
      <c r="E22" s="12">
        <f t="shared" ref="E22:E31" si="10">+C22-D22</f>
        <v>-108125.68999999762</v>
      </c>
      <c r="F22" s="13"/>
      <c r="G22" s="12">
        <f>+february!J8</f>
        <v>0</v>
      </c>
      <c r="H22" s="12">
        <f>+february!K8</f>
        <v>0</v>
      </c>
      <c r="I22" s="12">
        <f t="shared" ref="I22:I31" si="11">+G22-H22</f>
        <v>0</v>
      </c>
      <c r="J22" s="12"/>
      <c r="K22" s="12">
        <f>+february!N8</f>
        <v>2428127</v>
      </c>
      <c r="L22" s="12">
        <f>+february!O8</f>
        <v>5904204.3799999999</v>
      </c>
      <c r="M22" s="12">
        <f t="shared" ref="M22:M31" si="12">+K22-L22</f>
        <v>-3476077.38</v>
      </c>
      <c r="N22" s="13"/>
      <c r="O22" s="12">
        <f t="shared" ref="O22:O31" si="13">+C22+G22+K22</f>
        <v>259913509.09999999</v>
      </c>
      <c r="P22" s="12">
        <f t="shared" ref="P22:P31" si="14">+D22+H22+L22</f>
        <v>263497712.16999999</v>
      </c>
      <c r="Q22" s="14">
        <f t="shared" ref="Q22:Q31" si="15">+O22-P22</f>
        <v>-3584203.0699999928</v>
      </c>
      <c r="R22" s="17">
        <f t="shared" ref="R22:R31" si="16">+P22/O22</f>
        <v>1.0137899837619482</v>
      </c>
    </row>
    <row r="23" spans="2:18" ht="24.95" customHeight="1">
      <c r="B23" s="64" t="s">
        <v>172</v>
      </c>
      <c r="C23" s="12">
        <f>+SUM(february!F13:F17)+SUM(february!F35:F46)</f>
        <v>673644193.02999997</v>
      </c>
      <c r="D23" s="12">
        <f>+SUM(february!G13:G17)+SUM(february!G35:G46)</f>
        <v>422595474.15937501</v>
      </c>
      <c r="E23" s="12">
        <f t="shared" si="10"/>
        <v>251048718.87062496</v>
      </c>
      <c r="F23" s="13"/>
      <c r="G23" s="12">
        <f>+SUM(february!J13:J17)+SUM(february!J35:J46)</f>
        <v>12956701.1</v>
      </c>
      <c r="H23" s="12">
        <f>+SUM(february!K13:K17)+SUM(february!K35:K46)</f>
        <v>12902016.689999999</v>
      </c>
      <c r="I23" s="12">
        <f t="shared" si="11"/>
        <v>54684.410000000149</v>
      </c>
      <c r="J23" s="12"/>
      <c r="K23" s="12">
        <f>+SUM(february!N13:N17)+SUM(february!N35:N46)</f>
        <v>8315745</v>
      </c>
      <c r="L23" s="12">
        <f>+SUM(february!O13:O17)+SUM(february!O35:O46)</f>
        <v>5024199.01</v>
      </c>
      <c r="M23" s="12">
        <f t="shared" si="12"/>
        <v>3291545.99</v>
      </c>
      <c r="N23" s="13"/>
      <c r="O23" s="12">
        <f t="shared" si="13"/>
        <v>694916639.13</v>
      </c>
      <c r="P23" s="12">
        <f t="shared" si="14"/>
        <v>440521689.859375</v>
      </c>
      <c r="Q23" s="14">
        <f t="shared" si="15"/>
        <v>254394949.270625</v>
      </c>
      <c r="R23" s="17">
        <f t="shared" si="16"/>
        <v>0.63392019280310452</v>
      </c>
    </row>
    <row r="24" spans="2:18" ht="24.95" customHeight="1">
      <c r="B24" s="64" t="s">
        <v>170</v>
      </c>
      <c r="C24" s="12">
        <f>+february!F53+SUM(february!F20:F32)</f>
        <v>592633562</v>
      </c>
      <c r="D24" s="12">
        <f>+february!G53+SUM(february!G20:G32)</f>
        <v>486407716.30000001</v>
      </c>
      <c r="E24" s="12">
        <f t="shared" si="10"/>
        <v>106225845.69999999</v>
      </c>
      <c r="F24" s="13"/>
      <c r="G24" s="12">
        <f>+february!J53+SUM(february!J20:J32)</f>
        <v>33036092</v>
      </c>
      <c r="H24" s="12">
        <f>+february!K53+SUM(february!K20:K32)</f>
        <v>5549029.54</v>
      </c>
      <c r="I24" s="12">
        <f t="shared" si="11"/>
        <v>27487062.460000001</v>
      </c>
      <c r="J24" s="12"/>
      <c r="K24" s="12">
        <f>+february!N53+SUM(february!N20:N32)</f>
        <v>190884491</v>
      </c>
      <c r="L24" s="12">
        <f>+february!O53+SUM(february!O20:O32)</f>
        <v>88410294.260000005</v>
      </c>
      <c r="M24" s="12">
        <f t="shared" si="12"/>
        <v>102474196.73999999</v>
      </c>
      <c r="N24" s="13"/>
      <c r="O24" s="12">
        <f t="shared" si="13"/>
        <v>816554145</v>
      </c>
      <c r="P24" s="12">
        <f t="shared" si="14"/>
        <v>580367040.10000002</v>
      </c>
      <c r="Q24" s="14">
        <f t="shared" si="15"/>
        <v>236187104.89999998</v>
      </c>
      <c r="R24" s="17">
        <f t="shared" si="16"/>
        <v>0.71075144698457204</v>
      </c>
    </row>
    <row r="25" spans="2:18" ht="24.95" customHeight="1">
      <c r="B25" s="64" t="s">
        <v>164</v>
      </c>
      <c r="C25" s="12">
        <f>+february!F83</f>
        <v>320618124.69</v>
      </c>
      <c r="D25" s="12">
        <f>+february!G83</f>
        <v>280681611.62</v>
      </c>
      <c r="E25" s="12">
        <f t="shared" si="10"/>
        <v>39936513.069999993</v>
      </c>
      <c r="F25" s="13"/>
      <c r="G25" s="12">
        <f>+february!J83</f>
        <v>87105913</v>
      </c>
      <c r="H25" s="12">
        <f>+february!K83</f>
        <v>87105913</v>
      </c>
      <c r="I25" s="12">
        <f t="shared" si="11"/>
        <v>0</v>
      </c>
      <c r="J25" s="12"/>
      <c r="K25" s="12">
        <f>+february!N83</f>
        <v>9730925.0800000001</v>
      </c>
      <c r="L25" s="12">
        <f>+february!O83</f>
        <v>28175924.429999996</v>
      </c>
      <c r="M25" s="12">
        <f t="shared" si="12"/>
        <v>-18444999.349999994</v>
      </c>
      <c r="N25" s="13"/>
      <c r="O25" s="12">
        <f t="shared" si="13"/>
        <v>417454962.76999998</v>
      </c>
      <c r="P25" s="12">
        <f t="shared" si="14"/>
        <v>395963449.05000001</v>
      </c>
      <c r="Q25" s="14">
        <f t="shared" si="15"/>
        <v>21491513.719999969</v>
      </c>
      <c r="R25" s="17">
        <f t="shared" si="16"/>
        <v>0.94851776685706601</v>
      </c>
    </row>
    <row r="26" spans="2:18" ht="24.95" customHeight="1">
      <c r="B26" s="64" t="s">
        <v>165</v>
      </c>
      <c r="C26" s="12">
        <f>february!F106</f>
        <v>468720799</v>
      </c>
      <c r="D26" s="12">
        <f>february!G106</f>
        <v>330335786.69</v>
      </c>
      <c r="E26" s="12">
        <f t="shared" si="10"/>
        <v>138385012.31</v>
      </c>
      <c r="F26" s="13"/>
      <c r="G26" s="12">
        <f>february!J106</f>
        <v>6880911.7999999998</v>
      </c>
      <c r="H26" s="12">
        <f>february!K106</f>
        <v>6343738.5599999996</v>
      </c>
      <c r="I26" s="12">
        <f t="shared" si="11"/>
        <v>537173.24000000022</v>
      </c>
      <c r="J26" s="12"/>
      <c r="K26" s="12">
        <f>february!N106</f>
        <v>5219971</v>
      </c>
      <c r="L26" s="12">
        <f>february!O106</f>
        <v>3723668.26</v>
      </c>
      <c r="M26" s="12">
        <f t="shared" si="12"/>
        <v>1496302.7400000002</v>
      </c>
      <c r="N26" s="13"/>
      <c r="O26" s="12">
        <f t="shared" si="13"/>
        <v>480821681.80000001</v>
      </c>
      <c r="P26" s="12">
        <f t="shared" si="14"/>
        <v>340403193.50999999</v>
      </c>
      <c r="Q26" s="14">
        <f t="shared" si="15"/>
        <v>140418488.29000002</v>
      </c>
      <c r="R26" s="17">
        <f t="shared" si="16"/>
        <v>0.70796140522546624</v>
      </c>
    </row>
    <row r="27" spans="2:18" ht="24.95" customHeight="1">
      <c r="B27" s="64" t="s">
        <v>166</v>
      </c>
      <c r="C27" s="12">
        <f>+february!F49</f>
        <v>10207000</v>
      </c>
      <c r="D27" s="12">
        <f>+february!G49</f>
        <v>10207000</v>
      </c>
      <c r="E27" s="12">
        <f t="shared" si="10"/>
        <v>0</v>
      </c>
      <c r="F27" s="13"/>
      <c r="G27" s="12">
        <f>+february!J49</f>
        <v>0</v>
      </c>
      <c r="H27" s="12">
        <f>+february!K49</f>
        <v>0</v>
      </c>
      <c r="I27" s="12">
        <f t="shared" si="11"/>
        <v>0</v>
      </c>
      <c r="J27" s="12"/>
      <c r="K27" s="12">
        <f>+february!N49</f>
        <v>0</v>
      </c>
      <c r="L27" s="12">
        <f>+february!O49</f>
        <v>0</v>
      </c>
      <c r="M27" s="12">
        <f t="shared" si="12"/>
        <v>0</v>
      </c>
      <c r="N27" s="13"/>
      <c r="O27" s="12">
        <f t="shared" si="13"/>
        <v>10207000</v>
      </c>
      <c r="P27" s="12">
        <f t="shared" si="14"/>
        <v>10207000</v>
      </c>
      <c r="Q27" s="14">
        <f t="shared" si="15"/>
        <v>0</v>
      </c>
      <c r="R27" s="17">
        <f t="shared" si="16"/>
        <v>1</v>
      </c>
    </row>
    <row r="28" spans="2:18" ht="24.95" customHeight="1">
      <c r="B28" s="64" t="s">
        <v>167</v>
      </c>
      <c r="C28" s="12">
        <f>+february!F50</f>
        <v>36836000</v>
      </c>
      <c r="D28" s="12">
        <f>+february!G50</f>
        <v>20921610.949999999</v>
      </c>
      <c r="E28" s="12">
        <f t="shared" si="10"/>
        <v>15914389.050000001</v>
      </c>
      <c r="F28" s="13"/>
      <c r="G28" s="12">
        <f>+february!J50</f>
        <v>0</v>
      </c>
      <c r="H28" s="12">
        <f>+february!K50</f>
        <v>0</v>
      </c>
      <c r="I28" s="12">
        <f t="shared" si="11"/>
        <v>0</v>
      </c>
      <c r="J28" s="12"/>
      <c r="K28" s="12">
        <f>+february!N50</f>
        <v>0</v>
      </c>
      <c r="L28" s="12">
        <f>+february!O50</f>
        <v>0</v>
      </c>
      <c r="M28" s="12">
        <f t="shared" si="12"/>
        <v>0</v>
      </c>
      <c r="N28" s="13"/>
      <c r="O28" s="12">
        <f t="shared" si="13"/>
        <v>36836000</v>
      </c>
      <c r="P28" s="12">
        <f t="shared" si="14"/>
        <v>20921610.949999999</v>
      </c>
      <c r="Q28" s="14">
        <f t="shared" si="15"/>
        <v>15914389.050000001</v>
      </c>
      <c r="R28" s="17">
        <f t="shared" si="16"/>
        <v>0.56796641736344877</v>
      </c>
    </row>
    <row r="29" spans="2:18" ht="24.95" customHeight="1">
      <c r="B29" s="64" t="s">
        <v>168</v>
      </c>
      <c r="C29" s="12">
        <f>+february!F140</f>
        <v>16660000</v>
      </c>
      <c r="D29" s="12">
        <f>+february!G140</f>
        <v>9349987.5600000005</v>
      </c>
      <c r="E29" s="12">
        <f t="shared" si="10"/>
        <v>7310012.4399999995</v>
      </c>
      <c r="F29" s="13"/>
      <c r="G29" s="12">
        <f>+february!J140</f>
        <v>0</v>
      </c>
      <c r="H29" s="12">
        <f>+february!K140</f>
        <v>0</v>
      </c>
      <c r="I29" s="12">
        <f t="shared" si="11"/>
        <v>0</v>
      </c>
      <c r="J29" s="12"/>
      <c r="K29" s="12">
        <f>+february!N140</f>
        <v>0</v>
      </c>
      <c r="L29" s="12">
        <f>+february!O140</f>
        <v>0</v>
      </c>
      <c r="M29" s="12">
        <f t="shared" si="12"/>
        <v>0</v>
      </c>
      <c r="N29" s="13"/>
      <c r="O29" s="12">
        <f t="shared" si="13"/>
        <v>16660000</v>
      </c>
      <c r="P29" s="12">
        <f t="shared" si="14"/>
        <v>9349987.5600000005</v>
      </c>
      <c r="Q29" s="14">
        <f t="shared" si="15"/>
        <v>7310012.4399999995</v>
      </c>
      <c r="R29" s="17">
        <f t="shared" si="16"/>
        <v>0.56122374309723888</v>
      </c>
    </row>
    <row r="30" spans="2:18" ht="24.95" customHeight="1">
      <c r="B30" s="64" t="s">
        <v>169</v>
      </c>
      <c r="C30" s="12">
        <f>+february!F141</f>
        <v>25190000</v>
      </c>
      <c r="D30" s="12">
        <f>+february!G141</f>
        <v>16649754.49</v>
      </c>
      <c r="E30" s="12">
        <f t="shared" si="10"/>
        <v>8540245.5099999998</v>
      </c>
      <c r="F30" s="13"/>
      <c r="G30" s="12">
        <f>+february!J141</f>
        <v>0</v>
      </c>
      <c r="H30" s="12">
        <f>+february!K141</f>
        <v>0</v>
      </c>
      <c r="I30" s="12">
        <f t="shared" si="11"/>
        <v>0</v>
      </c>
      <c r="J30" s="12"/>
      <c r="K30" s="12">
        <f>+february!N141</f>
        <v>0</v>
      </c>
      <c r="L30" s="12">
        <f>+february!O141</f>
        <v>0</v>
      </c>
      <c r="M30" s="12">
        <f t="shared" si="12"/>
        <v>0</v>
      </c>
      <c r="N30" s="13"/>
      <c r="O30" s="12">
        <f t="shared" si="13"/>
        <v>25190000</v>
      </c>
      <c r="P30" s="12">
        <f t="shared" si="14"/>
        <v>16649754.49</v>
      </c>
      <c r="Q30" s="14">
        <f t="shared" si="15"/>
        <v>8540245.5099999998</v>
      </c>
      <c r="R30" s="17">
        <f t="shared" si="16"/>
        <v>0.66096683167923775</v>
      </c>
    </row>
    <row r="31" spans="2:18" ht="24.95" customHeight="1">
      <c r="B31" s="71" t="s">
        <v>173</v>
      </c>
      <c r="C31" s="12">
        <f>SUM(C22:C30)</f>
        <v>2401995060.8200002</v>
      </c>
      <c r="D31" s="12">
        <f>SUM(D22:D30)</f>
        <v>1834742449.5593753</v>
      </c>
      <c r="E31" s="12">
        <f t="shared" si="10"/>
        <v>567252611.26062489</v>
      </c>
      <c r="F31" s="13"/>
      <c r="G31" s="12">
        <f>SUM(G22:G30)</f>
        <v>139979617.90000001</v>
      </c>
      <c r="H31" s="12">
        <f>SUM(H22:H30)</f>
        <v>111900697.79000001</v>
      </c>
      <c r="I31" s="12">
        <f t="shared" si="11"/>
        <v>28078920.109999999</v>
      </c>
      <c r="J31" s="12"/>
      <c r="K31" s="12">
        <f>SUM(K22:K30)</f>
        <v>216579259.08000001</v>
      </c>
      <c r="L31" s="12">
        <f>SUM(L22:L30)</f>
        <v>131238290.34</v>
      </c>
      <c r="M31" s="12">
        <f t="shared" si="12"/>
        <v>85340968.74000001</v>
      </c>
      <c r="N31" s="13"/>
      <c r="O31" s="12">
        <f t="shared" si="13"/>
        <v>2758553937.8000002</v>
      </c>
      <c r="P31" s="12">
        <f t="shared" si="14"/>
        <v>2077881437.6893752</v>
      </c>
      <c r="Q31" s="14">
        <f t="shared" si="15"/>
        <v>680672500.11062503</v>
      </c>
      <c r="R31" s="17">
        <f t="shared" si="16"/>
        <v>0.75325024797105311</v>
      </c>
    </row>
    <row r="32" spans="2:18" ht="24.95" customHeight="1">
      <c r="B32" s="63"/>
      <c r="C32" s="12"/>
      <c r="D32" s="12"/>
      <c r="E32" s="12"/>
      <c r="F32" s="13"/>
      <c r="G32" s="12"/>
      <c r="H32" s="12"/>
      <c r="I32" s="12"/>
      <c r="J32" s="12"/>
      <c r="K32" s="12"/>
      <c r="L32" s="12"/>
      <c r="M32" s="12"/>
      <c r="N32" s="13"/>
      <c r="O32" s="12"/>
      <c r="P32" s="12"/>
      <c r="Q32" s="14"/>
      <c r="R32" s="17"/>
    </row>
    <row r="33" spans="2:18" ht="24.95" customHeight="1">
      <c r="B33" s="70" t="s">
        <v>152</v>
      </c>
      <c r="C33" s="12"/>
      <c r="D33" s="12"/>
      <c r="E33" s="12"/>
      <c r="F33" s="13"/>
      <c r="G33" s="12"/>
      <c r="H33" s="12"/>
      <c r="I33" s="12"/>
      <c r="J33" s="12"/>
      <c r="K33" s="12"/>
      <c r="L33" s="12"/>
      <c r="M33" s="12"/>
      <c r="N33" s="13"/>
      <c r="O33" s="12"/>
      <c r="P33" s="12"/>
      <c r="Q33" s="14"/>
      <c r="R33" s="17"/>
    </row>
    <row r="34" spans="2:18" ht="24.95" customHeight="1">
      <c r="B34" s="64" t="s">
        <v>14</v>
      </c>
      <c r="C34" s="12">
        <f>+march!F8</f>
        <v>635138493.24000001</v>
      </c>
      <c r="D34" s="12">
        <f>+march!G8</f>
        <v>635139123.78999996</v>
      </c>
      <c r="E34" s="12">
        <f t="shared" ref="E34:E43" si="17">+C34-D34</f>
        <v>-630.54999995231628</v>
      </c>
      <c r="F34" s="13"/>
      <c r="G34" s="12">
        <f>+march!J8</f>
        <v>0</v>
      </c>
      <c r="H34" s="12">
        <f>+march!K8</f>
        <v>0</v>
      </c>
      <c r="I34" s="12">
        <f t="shared" ref="I34:I43" si="18">+G34-H34</f>
        <v>0</v>
      </c>
      <c r="J34" s="12"/>
      <c r="K34" s="12">
        <f>+march!N8</f>
        <v>768941</v>
      </c>
      <c r="L34" s="12">
        <f>+march!O8</f>
        <v>525246.63</v>
      </c>
      <c r="M34" s="12">
        <f t="shared" ref="M34:M43" si="19">+K34-L34</f>
        <v>243694.37</v>
      </c>
      <c r="N34" s="13"/>
      <c r="O34" s="12">
        <f t="shared" ref="O34:O43" si="20">+C34+G34+K34</f>
        <v>635907434.24000001</v>
      </c>
      <c r="P34" s="12">
        <f t="shared" ref="P34:P43" si="21">+D34+H34+L34</f>
        <v>635664370.41999996</v>
      </c>
      <c r="Q34" s="14">
        <f t="shared" ref="Q34:Q43" si="22">+O34-P34</f>
        <v>243063.82000005245</v>
      </c>
      <c r="R34" s="17">
        <f t="shared" ref="R34:R43" si="23">+P34/O34</f>
        <v>0.99961776855103046</v>
      </c>
    </row>
    <row r="35" spans="2:18" ht="24.95" customHeight="1">
      <c r="B35" s="64" t="s">
        <v>172</v>
      </c>
      <c r="C35" s="12">
        <f>+SUM(march!F13:F17)+SUM(march!F35:F46)</f>
        <v>666811262.63999999</v>
      </c>
      <c r="D35" s="12">
        <f>+SUM(march!G13:G17)+SUM(march!G35:G46)</f>
        <v>623893057.07999992</v>
      </c>
      <c r="E35" s="12">
        <f t="shared" si="17"/>
        <v>42918205.560000062</v>
      </c>
      <c r="F35" s="13"/>
      <c r="G35" s="12">
        <f>+SUM(march!J13:J17)+SUM(march!J35:J46)</f>
        <v>0</v>
      </c>
      <c r="H35" s="12">
        <f>+SUM(march!K13:K17)+SUM(march!K35:K46)</f>
        <v>0</v>
      </c>
      <c r="I35" s="12">
        <f t="shared" si="18"/>
        <v>0</v>
      </c>
      <c r="J35" s="12"/>
      <c r="K35" s="12">
        <f>+SUM(march!N13:N17)+SUM(march!N35:N46)</f>
        <v>3838196</v>
      </c>
      <c r="L35" s="12">
        <f>+SUM(march!O13:O17)+SUM(march!O35:O46)</f>
        <v>13208891.91</v>
      </c>
      <c r="M35" s="12">
        <f t="shared" si="19"/>
        <v>-9370695.9100000001</v>
      </c>
      <c r="N35" s="13"/>
      <c r="O35" s="12">
        <f t="shared" si="20"/>
        <v>670649458.63999999</v>
      </c>
      <c r="P35" s="12">
        <f t="shared" si="21"/>
        <v>637101948.98999989</v>
      </c>
      <c r="Q35" s="14">
        <f t="shared" si="22"/>
        <v>33547509.650000095</v>
      </c>
      <c r="R35" s="17">
        <f t="shared" si="23"/>
        <v>0.94997757887103851</v>
      </c>
    </row>
    <row r="36" spans="2:18" ht="24.95" customHeight="1">
      <c r="B36" s="64" t="s">
        <v>170</v>
      </c>
      <c r="C36" s="12">
        <f>+march!F53+SUM(march!F20:F32)</f>
        <v>633834772</v>
      </c>
      <c r="D36" s="12">
        <f>+march!G53+SUM(march!G20:G32)</f>
        <v>674793386.26999998</v>
      </c>
      <c r="E36" s="12">
        <f t="shared" si="17"/>
        <v>-40958614.269999981</v>
      </c>
      <c r="F36" s="13"/>
      <c r="G36" s="12">
        <f>+march!J53+SUM(march!J20:J32)</f>
        <v>88845784</v>
      </c>
      <c r="H36" s="12">
        <f>+march!K53+SUM(march!K20:K32)</f>
        <v>116331050.34999999</v>
      </c>
      <c r="I36" s="12">
        <f t="shared" si="18"/>
        <v>-27485266.349999994</v>
      </c>
      <c r="J36" s="12"/>
      <c r="K36" s="12">
        <f>+march!N53+SUM(march!N20:N32)</f>
        <v>194876456.26999998</v>
      </c>
      <c r="L36" s="12">
        <f>+march!O53+SUM(march!O20:O32)</f>
        <v>234756452.70999998</v>
      </c>
      <c r="M36" s="12">
        <f t="shared" si="19"/>
        <v>-39879996.439999998</v>
      </c>
      <c r="N36" s="13"/>
      <c r="O36" s="12">
        <f t="shared" si="20"/>
        <v>917557012.26999998</v>
      </c>
      <c r="P36" s="12">
        <f t="shared" si="21"/>
        <v>1025880889.3299999</v>
      </c>
      <c r="Q36" s="14">
        <f t="shared" si="22"/>
        <v>-108323877.05999994</v>
      </c>
      <c r="R36" s="17">
        <f t="shared" si="23"/>
        <v>1.1180568352826501</v>
      </c>
    </row>
    <row r="37" spans="2:18" ht="24.95" customHeight="1">
      <c r="B37" s="64" t="s">
        <v>164</v>
      </c>
      <c r="C37" s="12">
        <f>+march!F83</f>
        <v>337122409.44999999</v>
      </c>
      <c r="D37" s="12">
        <f>+march!G83</f>
        <v>369966090.08999991</v>
      </c>
      <c r="E37" s="12">
        <f t="shared" si="17"/>
        <v>-32843680.639999926</v>
      </c>
      <c r="F37" s="13"/>
      <c r="G37" s="12">
        <f>+march!J83</f>
        <v>128000000</v>
      </c>
      <c r="H37" s="12">
        <f>+march!K83</f>
        <v>128000000</v>
      </c>
      <c r="I37" s="12">
        <f t="shared" si="18"/>
        <v>0</v>
      </c>
      <c r="J37" s="12"/>
      <c r="K37" s="12">
        <f>+march!N83</f>
        <v>9984935.6400000006</v>
      </c>
      <c r="L37" s="12">
        <f>+march!O83</f>
        <v>66535023.449999996</v>
      </c>
      <c r="M37" s="12">
        <f t="shared" si="19"/>
        <v>-56550087.809999995</v>
      </c>
      <c r="N37" s="13"/>
      <c r="O37" s="12">
        <f t="shared" si="20"/>
        <v>475107345.08999997</v>
      </c>
      <c r="P37" s="12">
        <f t="shared" si="21"/>
        <v>564501113.53999996</v>
      </c>
      <c r="Q37" s="14">
        <f t="shared" si="22"/>
        <v>-89393768.449999988</v>
      </c>
      <c r="R37" s="17">
        <f t="shared" si="23"/>
        <v>1.1881548862038032</v>
      </c>
    </row>
    <row r="38" spans="2:18" ht="24.95" customHeight="1">
      <c r="B38" s="64" t="s">
        <v>165</v>
      </c>
      <c r="C38" s="12">
        <f>march!F106</f>
        <v>498211168.65999997</v>
      </c>
      <c r="D38" s="12">
        <f>march!G106</f>
        <v>548769526.99000001</v>
      </c>
      <c r="E38" s="12">
        <f t="shared" si="17"/>
        <v>-50558358.330000043</v>
      </c>
      <c r="F38" s="13"/>
      <c r="G38" s="12">
        <f>march!J106</f>
        <v>53711139.259999998</v>
      </c>
      <c r="H38" s="12">
        <f>march!K106</f>
        <v>67461349.25</v>
      </c>
      <c r="I38" s="12">
        <f t="shared" si="18"/>
        <v>-13750209.990000002</v>
      </c>
      <c r="J38" s="12"/>
      <c r="K38" s="12">
        <f>march!N106</f>
        <v>49753188.799999997</v>
      </c>
      <c r="L38" s="12">
        <f>march!O106</f>
        <v>50526866.159999989</v>
      </c>
      <c r="M38" s="12">
        <f t="shared" si="19"/>
        <v>-773677.35999999195</v>
      </c>
      <c r="N38" s="13"/>
      <c r="O38" s="12">
        <f t="shared" si="20"/>
        <v>601675496.71999991</v>
      </c>
      <c r="P38" s="12">
        <f t="shared" si="21"/>
        <v>666757742.39999998</v>
      </c>
      <c r="Q38" s="14">
        <f t="shared" si="22"/>
        <v>-65082245.680000067</v>
      </c>
      <c r="R38" s="17">
        <f t="shared" si="23"/>
        <v>1.1081683499407775</v>
      </c>
    </row>
    <row r="39" spans="2:18" ht="24.95" customHeight="1">
      <c r="B39" s="64" t="s">
        <v>166</v>
      </c>
      <c r="C39" s="12">
        <f>+march!F49</f>
        <v>11825000</v>
      </c>
      <c r="D39" s="12">
        <f>+march!G49</f>
        <v>11824806.1</v>
      </c>
      <c r="E39" s="12">
        <f t="shared" si="17"/>
        <v>193.90000000037253</v>
      </c>
      <c r="F39" s="13"/>
      <c r="G39" s="12">
        <f>+march!J49</f>
        <v>0</v>
      </c>
      <c r="H39" s="12">
        <f>+march!K49</f>
        <v>0</v>
      </c>
      <c r="I39" s="12">
        <f t="shared" si="18"/>
        <v>0</v>
      </c>
      <c r="J39" s="12"/>
      <c r="K39" s="12">
        <f>+march!N49</f>
        <v>0</v>
      </c>
      <c r="L39" s="12">
        <f>+march!O49</f>
        <v>0</v>
      </c>
      <c r="M39" s="12">
        <f t="shared" si="19"/>
        <v>0</v>
      </c>
      <c r="N39" s="13"/>
      <c r="O39" s="12">
        <f t="shared" si="20"/>
        <v>11825000</v>
      </c>
      <c r="P39" s="12">
        <f t="shared" si="21"/>
        <v>11824806.1</v>
      </c>
      <c r="Q39" s="14">
        <f t="shared" si="22"/>
        <v>193.90000000037253</v>
      </c>
      <c r="R39" s="17">
        <f t="shared" si="23"/>
        <v>0.99998360253699781</v>
      </c>
    </row>
    <row r="40" spans="2:18" ht="24.95" customHeight="1">
      <c r="B40" s="64" t="s">
        <v>167</v>
      </c>
      <c r="C40" s="12">
        <f>+march!F50</f>
        <v>39720000</v>
      </c>
      <c r="D40" s="12">
        <f>+march!G50</f>
        <v>22928499.969999999</v>
      </c>
      <c r="E40" s="12">
        <f t="shared" si="17"/>
        <v>16791500.030000001</v>
      </c>
      <c r="F40" s="13"/>
      <c r="G40" s="12">
        <f>+march!J50</f>
        <v>0</v>
      </c>
      <c r="H40" s="12">
        <f>+march!K50</f>
        <v>0</v>
      </c>
      <c r="I40" s="12">
        <f t="shared" si="18"/>
        <v>0</v>
      </c>
      <c r="J40" s="12"/>
      <c r="K40" s="12">
        <f>+march!N50</f>
        <v>0</v>
      </c>
      <c r="L40" s="12">
        <f>+march!O50</f>
        <v>0</v>
      </c>
      <c r="M40" s="12">
        <f t="shared" si="19"/>
        <v>0</v>
      </c>
      <c r="N40" s="13"/>
      <c r="O40" s="12">
        <f t="shared" si="20"/>
        <v>39720000</v>
      </c>
      <c r="P40" s="12">
        <f t="shared" si="21"/>
        <v>22928499.969999999</v>
      </c>
      <c r="Q40" s="14">
        <f t="shared" si="22"/>
        <v>16791500.030000001</v>
      </c>
      <c r="R40" s="17">
        <f t="shared" si="23"/>
        <v>0.57725327215508559</v>
      </c>
    </row>
    <row r="41" spans="2:18" ht="24.95" customHeight="1">
      <c r="B41" s="64" t="s">
        <v>168</v>
      </c>
      <c r="C41" s="12">
        <f>+march!F140</f>
        <v>40095000</v>
      </c>
      <c r="D41" s="12">
        <f>+march!G140</f>
        <v>15755126.16</v>
      </c>
      <c r="E41" s="12">
        <f t="shared" si="17"/>
        <v>24339873.84</v>
      </c>
      <c r="F41" s="13"/>
      <c r="G41" s="12">
        <f>+march!J140</f>
        <v>0</v>
      </c>
      <c r="H41" s="12">
        <f>+march!K140</f>
        <v>0</v>
      </c>
      <c r="I41" s="12">
        <f t="shared" si="18"/>
        <v>0</v>
      </c>
      <c r="J41" s="12"/>
      <c r="K41" s="12">
        <f>+march!N140</f>
        <v>0</v>
      </c>
      <c r="L41" s="12">
        <f>+march!O140</f>
        <v>0</v>
      </c>
      <c r="M41" s="12">
        <f t="shared" si="19"/>
        <v>0</v>
      </c>
      <c r="N41" s="13"/>
      <c r="O41" s="12">
        <f t="shared" si="20"/>
        <v>40095000</v>
      </c>
      <c r="P41" s="12">
        <f t="shared" si="21"/>
        <v>15755126.16</v>
      </c>
      <c r="Q41" s="14">
        <f t="shared" si="22"/>
        <v>24339873.84</v>
      </c>
      <c r="R41" s="17">
        <f t="shared" si="23"/>
        <v>0.39294490983913205</v>
      </c>
    </row>
    <row r="42" spans="2:18" ht="24.95" customHeight="1">
      <c r="B42" s="64" t="s">
        <v>169</v>
      </c>
      <c r="C42" s="12">
        <f>+march!F141</f>
        <v>24245000</v>
      </c>
      <c r="D42" s="12">
        <f>+march!G141</f>
        <v>25021231.989999998</v>
      </c>
      <c r="E42" s="12">
        <f t="shared" si="17"/>
        <v>-776231.98999999836</v>
      </c>
      <c r="F42" s="13"/>
      <c r="G42" s="12">
        <f>+march!J141</f>
        <v>0</v>
      </c>
      <c r="H42" s="12">
        <f>+march!K141</f>
        <v>0</v>
      </c>
      <c r="I42" s="12">
        <f t="shared" si="18"/>
        <v>0</v>
      </c>
      <c r="J42" s="12"/>
      <c r="K42" s="12">
        <f>+march!N141</f>
        <v>7985</v>
      </c>
      <c r="L42" s="12">
        <f>+march!O141</f>
        <v>7985</v>
      </c>
      <c r="M42" s="12">
        <f t="shared" si="19"/>
        <v>0</v>
      </c>
      <c r="N42" s="13"/>
      <c r="O42" s="12">
        <f t="shared" si="20"/>
        <v>24252985</v>
      </c>
      <c r="P42" s="12">
        <f t="shared" si="21"/>
        <v>25029216.989999998</v>
      </c>
      <c r="Q42" s="14">
        <f t="shared" si="22"/>
        <v>-776231.98999999836</v>
      </c>
      <c r="R42" s="17">
        <f t="shared" si="23"/>
        <v>1.0320056269362308</v>
      </c>
    </row>
    <row r="43" spans="2:18" ht="24.95" customHeight="1">
      <c r="B43" s="71" t="s">
        <v>174</v>
      </c>
      <c r="C43" s="12">
        <f>SUM(C34:C42)</f>
        <v>2887003105.9899998</v>
      </c>
      <c r="D43" s="12">
        <f>SUM(D34:D42)</f>
        <v>2928090848.4399986</v>
      </c>
      <c r="E43" s="12">
        <f t="shared" si="17"/>
        <v>-41087742.449998856</v>
      </c>
      <c r="F43" s="13"/>
      <c r="G43" s="12">
        <f>SUM(G34:G42)</f>
        <v>270556923.25999999</v>
      </c>
      <c r="H43" s="12">
        <f>SUM(H34:H42)</f>
        <v>311792399.60000002</v>
      </c>
      <c r="I43" s="12">
        <f t="shared" si="18"/>
        <v>-41235476.340000033</v>
      </c>
      <c r="J43" s="12"/>
      <c r="K43" s="12">
        <f>SUM(K34:K42)</f>
        <v>259229702.70999998</v>
      </c>
      <c r="L43" s="12">
        <f>SUM(L34:L42)</f>
        <v>365560465.85999995</v>
      </c>
      <c r="M43" s="12">
        <f t="shared" si="19"/>
        <v>-106330763.14999998</v>
      </c>
      <c r="N43" s="13"/>
      <c r="O43" s="12">
        <f t="shared" si="20"/>
        <v>3416789731.96</v>
      </c>
      <c r="P43" s="12">
        <f t="shared" si="21"/>
        <v>3605443713.8999987</v>
      </c>
      <c r="Q43" s="14">
        <f t="shared" si="22"/>
        <v>-188653981.93999863</v>
      </c>
      <c r="R43" s="17">
        <f t="shared" si="23"/>
        <v>1.055213810839855</v>
      </c>
    </row>
    <row r="44" spans="2:18" ht="24.95" customHeight="1">
      <c r="B44" s="18"/>
      <c r="C44" s="12"/>
      <c r="D44" s="12"/>
      <c r="E44" s="12"/>
      <c r="F44" s="13"/>
      <c r="G44" s="12"/>
      <c r="H44" s="12"/>
      <c r="I44" s="12"/>
      <c r="J44" s="12"/>
      <c r="K44" s="12"/>
      <c r="L44" s="12"/>
      <c r="M44" s="12"/>
      <c r="N44" s="13"/>
      <c r="O44" s="12"/>
      <c r="P44" s="12"/>
      <c r="Q44" s="14"/>
      <c r="R44" s="17"/>
    </row>
    <row r="45" spans="2:18" ht="24.95" customHeight="1">
      <c r="B45" s="73" t="s">
        <v>179</v>
      </c>
      <c r="C45" s="12"/>
      <c r="D45" s="12"/>
      <c r="E45" s="12"/>
      <c r="F45" s="13"/>
      <c r="G45" s="12"/>
      <c r="H45" s="12"/>
      <c r="I45" s="12"/>
      <c r="J45" s="12"/>
      <c r="K45" s="12"/>
      <c r="L45" s="12"/>
      <c r="M45" s="12"/>
      <c r="N45" s="13"/>
      <c r="O45" s="12"/>
      <c r="P45" s="12"/>
      <c r="Q45" s="14"/>
      <c r="R45" s="17"/>
    </row>
    <row r="46" spans="2:18" ht="24.95" customHeight="1">
      <c r="B46" s="64" t="s">
        <v>14</v>
      </c>
      <c r="C46" s="12">
        <f>+C10+C22+C34</f>
        <v>1150087075.3400002</v>
      </c>
      <c r="D46" s="12">
        <f t="shared" ref="D46:D54" si="24">+D10+D22+D34</f>
        <v>1150088049.28</v>
      </c>
      <c r="E46" s="12">
        <f t="shared" ref="E46:E55" si="25">+C46-D46</f>
        <v>-973.93999981880188</v>
      </c>
      <c r="F46" s="13"/>
      <c r="G46" s="12">
        <f>+G10+G22+G34</f>
        <v>0</v>
      </c>
      <c r="H46" s="12">
        <f t="shared" ref="H46:H54" si="26">+H10+H22+H34</f>
        <v>0</v>
      </c>
      <c r="I46" s="12">
        <f t="shared" ref="I46:I55" si="27">+G46-H46</f>
        <v>0</v>
      </c>
      <c r="J46" s="12"/>
      <c r="K46" s="12">
        <f>+K10+K22+K34</f>
        <v>8672281</v>
      </c>
      <c r="L46" s="12">
        <f t="shared" ref="L46:L54" si="28">+L10+L22+L34</f>
        <v>6429451.0099999998</v>
      </c>
      <c r="M46" s="12">
        <f t="shared" ref="M46:M55" si="29">+K46-L46</f>
        <v>2242829.9900000002</v>
      </c>
      <c r="N46" s="13"/>
      <c r="O46" s="12">
        <f t="shared" ref="O46:O55" si="30">+C46+G46+K46</f>
        <v>1158759356.3400002</v>
      </c>
      <c r="P46" s="12">
        <f t="shared" ref="P46:P55" si="31">+D46+H46+L46</f>
        <v>1156517500.29</v>
      </c>
      <c r="Q46" s="14">
        <f t="shared" ref="Q46:Q55" si="32">+O46-P46</f>
        <v>2241856.0500001907</v>
      </c>
      <c r="R46" s="17">
        <f t="shared" ref="R46:R55" si="33">+P46/O46</f>
        <v>0.99806529626903617</v>
      </c>
    </row>
    <row r="47" spans="2:18" ht="24.95" customHeight="1">
      <c r="B47" s="64" t="s">
        <v>172</v>
      </c>
      <c r="C47" s="12">
        <f t="shared" ref="C47" si="34">+C11+C23+C35</f>
        <v>1890388703.5699997</v>
      </c>
      <c r="D47" s="12">
        <f t="shared" si="24"/>
        <v>1443372180.6893749</v>
      </c>
      <c r="E47" s="12">
        <f t="shared" si="25"/>
        <v>447016522.88062477</v>
      </c>
      <c r="F47" s="13"/>
      <c r="G47" s="12">
        <f t="shared" ref="G47" si="35">+G11+G23+G35</f>
        <v>12956701.1</v>
      </c>
      <c r="H47" s="12">
        <f t="shared" si="26"/>
        <v>12902016.689999999</v>
      </c>
      <c r="I47" s="12">
        <f t="shared" si="27"/>
        <v>54684.410000000149</v>
      </c>
      <c r="J47" s="12"/>
      <c r="K47" s="12">
        <f t="shared" ref="K47" si="36">+K11+K23+K35</f>
        <v>13950341</v>
      </c>
      <c r="L47" s="12">
        <f t="shared" si="28"/>
        <v>18233090.920000002</v>
      </c>
      <c r="M47" s="12">
        <f t="shared" si="29"/>
        <v>-4282749.9200000018</v>
      </c>
      <c r="N47" s="13"/>
      <c r="O47" s="12">
        <f t="shared" si="30"/>
        <v>1917295745.6699996</v>
      </c>
      <c r="P47" s="12">
        <f t="shared" si="31"/>
        <v>1474507288.2993751</v>
      </c>
      <c r="Q47" s="14">
        <f t="shared" si="32"/>
        <v>442788457.37062454</v>
      </c>
      <c r="R47" s="17">
        <f t="shared" si="33"/>
        <v>0.76905573468745581</v>
      </c>
    </row>
    <row r="48" spans="2:18" ht="24.95" customHeight="1">
      <c r="B48" s="64" t="s">
        <v>170</v>
      </c>
      <c r="C48" s="12">
        <f t="shared" ref="C48" si="37">+C12+C24+C36</f>
        <v>1684119031</v>
      </c>
      <c r="D48" s="12">
        <f t="shared" si="24"/>
        <v>1523008057.1099999</v>
      </c>
      <c r="E48" s="12">
        <f t="shared" si="25"/>
        <v>161110973.8900001</v>
      </c>
      <c r="F48" s="13"/>
      <c r="G48" s="12">
        <f t="shared" ref="G48" si="38">+G12+G24+G36</f>
        <v>121881876</v>
      </c>
      <c r="H48" s="12">
        <f t="shared" si="26"/>
        <v>121880079.89</v>
      </c>
      <c r="I48" s="12">
        <f t="shared" si="27"/>
        <v>1796.109999999404</v>
      </c>
      <c r="J48" s="12"/>
      <c r="K48" s="12">
        <f t="shared" ref="K48" si="39">+K12+K24+K36</f>
        <v>459180866.26999998</v>
      </c>
      <c r="L48" s="12">
        <f t="shared" si="28"/>
        <v>371486383.42999995</v>
      </c>
      <c r="M48" s="12">
        <f t="shared" si="29"/>
        <v>87694482.840000033</v>
      </c>
      <c r="N48" s="13"/>
      <c r="O48" s="12">
        <f t="shared" si="30"/>
        <v>2265181773.27</v>
      </c>
      <c r="P48" s="12">
        <f t="shared" si="31"/>
        <v>2016374520.4299998</v>
      </c>
      <c r="Q48" s="14">
        <f t="shared" si="32"/>
        <v>248807252.84000015</v>
      </c>
      <c r="R48" s="17">
        <f t="shared" si="33"/>
        <v>0.89016013823878526</v>
      </c>
    </row>
    <row r="49" spans="2:18" ht="24.95" customHeight="1">
      <c r="B49" s="64" t="s">
        <v>164</v>
      </c>
      <c r="C49" s="12">
        <f t="shared" ref="C49" si="40">+C13+C25+C37</f>
        <v>931551534.1400001</v>
      </c>
      <c r="D49" s="12">
        <f t="shared" si="24"/>
        <v>803234679.80999994</v>
      </c>
      <c r="E49" s="12">
        <f t="shared" si="25"/>
        <v>128316854.33000016</v>
      </c>
      <c r="F49" s="13"/>
      <c r="G49" s="12">
        <f t="shared" ref="G49" si="41">+G13+G25+G37</f>
        <v>215105913</v>
      </c>
      <c r="H49" s="12">
        <f t="shared" si="26"/>
        <v>215105913</v>
      </c>
      <c r="I49" s="12">
        <f t="shared" si="27"/>
        <v>0</v>
      </c>
      <c r="J49" s="12"/>
      <c r="K49" s="12">
        <f t="shared" ref="K49" si="42">+K13+K25+K37</f>
        <v>20838860.719999999</v>
      </c>
      <c r="L49" s="12">
        <f t="shared" si="28"/>
        <v>119354857.76999998</v>
      </c>
      <c r="M49" s="12">
        <f t="shared" si="29"/>
        <v>-98515997.049999982</v>
      </c>
      <c r="N49" s="13"/>
      <c r="O49" s="12">
        <f t="shared" si="30"/>
        <v>1167496307.8600001</v>
      </c>
      <c r="P49" s="12">
        <f t="shared" si="31"/>
        <v>1137695450.5799999</v>
      </c>
      <c r="Q49" s="14">
        <f t="shared" si="32"/>
        <v>29800857.28000021</v>
      </c>
      <c r="R49" s="17">
        <f t="shared" si="33"/>
        <v>0.97447455972291286</v>
      </c>
    </row>
    <row r="50" spans="2:18" ht="24.95" customHeight="1">
      <c r="B50" s="64" t="s">
        <v>165</v>
      </c>
      <c r="C50" s="12">
        <f t="shared" ref="C50" si="43">+C14+C26+C38</f>
        <v>1463408963.6599998</v>
      </c>
      <c r="D50" s="12">
        <f t="shared" si="24"/>
        <v>1207104786.6400001</v>
      </c>
      <c r="E50" s="12">
        <f t="shared" si="25"/>
        <v>256304177.01999974</v>
      </c>
      <c r="F50" s="13"/>
      <c r="G50" s="12">
        <f t="shared" ref="G50" si="44">+G14+G26+G38</f>
        <v>70304851.060000002</v>
      </c>
      <c r="H50" s="12">
        <f t="shared" si="26"/>
        <v>82026279.239999995</v>
      </c>
      <c r="I50" s="12">
        <f t="shared" si="27"/>
        <v>-11721428.179999992</v>
      </c>
      <c r="J50" s="12"/>
      <c r="K50" s="12">
        <f t="shared" ref="K50" si="45">+K14+K26+K38</f>
        <v>93406829.799999997</v>
      </c>
      <c r="L50" s="12">
        <f t="shared" si="28"/>
        <v>92503084.309999987</v>
      </c>
      <c r="M50" s="12">
        <f t="shared" si="29"/>
        <v>903745.49000000954</v>
      </c>
      <c r="N50" s="13"/>
      <c r="O50" s="12">
        <f t="shared" si="30"/>
        <v>1627120644.5199997</v>
      </c>
      <c r="P50" s="12">
        <f t="shared" si="31"/>
        <v>1381634150.1900001</v>
      </c>
      <c r="Q50" s="14">
        <f t="shared" si="32"/>
        <v>245486494.32999969</v>
      </c>
      <c r="R50" s="17">
        <f t="shared" si="33"/>
        <v>0.84912827751477638</v>
      </c>
    </row>
    <row r="51" spans="2:18" ht="24.95" customHeight="1">
      <c r="B51" s="64" t="s">
        <v>166</v>
      </c>
      <c r="C51" s="12">
        <f t="shared" ref="C51" si="46">+C15+C27+C39</f>
        <v>32238000</v>
      </c>
      <c r="D51" s="12">
        <f t="shared" si="24"/>
        <v>32237806.100000001</v>
      </c>
      <c r="E51" s="12">
        <f t="shared" si="25"/>
        <v>193.89999999850988</v>
      </c>
      <c r="F51" s="13"/>
      <c r="G51" s="12">
        <f t="shared" ref="G51" si="47">+G15+G27+G39</f>
        <v>0</v>
      </c>
      <c r="H51" s="12">
        <f t="shared" si="26"/>
        <v>0</v>
      </c>
      <c r="I51" s="12">
        <f t="shared" si="27"/>
        <v>0</v>
      </c>
      <c r="J51" s="12"/>
      <c r="K51" s="12">
        <f t="shared" ref="K51" si="48">+K15+K27+K39</f>
        <v>0</v>
      </c>
      <c r="L51" s="12">
        <f t="shared" si="28"/>
        <v>0</v>
      </c>
      <c r="M51" s="12">
        <f t="shared" si="29"/>
        <v>0</v>
      </c>
      <c r="N51" s="13"/>
      <c r="O51" s="12">
        <f t="shared" si="30"/>
        <v>32238000</v>
      </c>
      <c r="P51" s="12">
        <f t="shared" si="31"/>
        <v>32237806.100000001</v>
      </c>
      <c r="Q51" s="14">
        <f t="shared" si="32"/>
        <v>193.89999999850988</v>
      </c>
      <c r="R51" s="17">
        <f t="shared" si="33"/>
        <v>0.99999398535889328</v>
      </c>
    </row>
    <row r="52" spans="2:18" ht="24.95" customHeight="1">
      <c r="B52" s="64" t="s">
        <v>167</v>
      </c>
      <c r="C52" s="12">
        <f t="shared" ref="C52" si="49">+C16+C28+C40</f>
        <v>111366000</v>
      </c>
      <c r="D52" s="12">
        <f t="shared" si="24"/>
        <v>78522464.829999998</v>
      </c>
      <c r="E52" s="12">
        <f t="shared" si="25"/>
        <v>32843535.170000002</v>
      </c>
      <c r="F52" s="13"/>
      <c r="G52" s="12">
        <f t="shared" ref="G52" si="50">+G16+G28+G40</f>
        <v>0</v>
      </c>
      <c r="H52" s="12">
        <f t="shared" si="26"/>
        <v>0</v>
      </c>
      <c r="I52" s="12">
        <f t="shared" si="27"/>
        <v>0</v>
      </c>
      <c r="J52" s="12"/>
      <c r="K52" s="12">
        <f t="shared" ref="K52" si="51">+K16+K28+K40</f>
        <v>0</v>
      </c>
      <c r="L52" s="12">
        <f t="shared" si="28"/>
        <v>0</v>
      </c>
      <c r="M52" s="12">
        <f t="shared" si="29"/>
        <v>0</v>
      </c>
      <c r="N52" s="13"/>
      <c r="O52" s="12">
        <f t="shared" si="30"/>
        <v>111366000</v>
      </c>
      <c r="P52" s="12">
        <f t="shared" si="31"/>
        <v>78522464.829999998</v>
      </c>
      <c r="Q52" s="14">
        <f t="shared" si="32"/>
        <v>32843535.170000002</v>
      </c>
      <c r="R52" s="17">
        <f t="shared" si="33"/>
        <v>0.7050847191243288</v>
      </c>
    </row>
    <row r="53" spans="2:18" ht="24.95" customHeight="1">
      <c r="B53" s="64" t="s">
        <v>168</v>
      </c>
      <c r="C53" s="12">
        <f t="shared" ref="C53" si="52">+C17+C29+C41</f>
        <v>68773000</v>
      </c>
      <c r="D53" s="12">
        <f t="shared" si="24"/>
        <v>34522188.439999998</v>
      </c>
      <c r="E53" s="12">
        <f t="shared" si="25"/>
        <v>34250811.560000002</v>
      </c>
      <c r="F53" s="13"/>
      <c r="G53" s="12">
        <f t="shared" ref="G53" si="53">+G17+G29+G41</f>
        <v>0</v>
      </c>
      <c r="H53" s="12">
        <f t="shared" si="26"/>
        <v>0</v>
      </c>
      <c r="I53" s="12">
        <f t="shared" si="27"/>
        <v>0</v>
      </c>
      <c r="J53" s="12"/>
      <c r="K53" s="12">
        <f t="shared" ref="K53" si="54">+K17+K29+K41</f>
        <v>0</v>
      </c>
      <c r="L53" s="12">
        <f t="shared" si="28"/>
        <v>0</v>
      </c>
      <c r="M53" s="12">
        <f t="shared" si="29"/>
        <v>0</v>
      </c>
      <c r="N53" s="13"/>
      <c r="O53" s="12">
        <f t="shared" si="30"/>
        <v>68773000</v>
      </c>
      <c r="P53" s="12">
        <f t="shared" si="31"/>
        <v>34522188.439999998</v>
      </c>
      <c r="Q53" s="14">
        <f t="shared" si="32"/>
        <v>34250811.560000002</v>
      </c>
      <c r="R53" s="17">
        <f t="shared" si="33"/>
        <v>0.50197298998153339</v>
      </c>
    </row>
    <row r="54" spans="2:18" ht="24.95" customHeight="1">
      <c r="B54" s="64" t="s">
        <v>169</v>
      </c>
      <c r="C54" s="12">
        <f t="shared" ref="C54" si="55">+C18+C30+C42</f>
        <v>71174000</v>
      </c>
      <c r="D54" s="12">
        <f t="shared" si="24"/>
        <v>52691894.829999998</v>
      </c>
      <c r="E54" s="12">
        <f t="shared" si="25"/>
        <v>18482105.170000002</v>
      </c>
      <c r="F54" s="13"/>
      <c r="G54" s="12">
        <f t="shared" ref="G54" si="56">+G18+G30+G42</f>
        <v>0</v>
      </c>
      <c r="H54" s="12">
        <f t="shared" si="26"/>
        <v>0</v>
      </c>
      <c r="I54" s="12">
        <f t="shared" si="27"/>
        <v>0</v>
      </c>
      <c r="J54" s="12"/>
      <c r="K54" s="12">
        <f t="shared" ref="K54" si="57">+K18+K30+K42</f>
        <v>7985</v>
      </c>
      <c r="L54" s="12">
        <f t="shared" si="28"/>
        <v>7985</v>
      </c>
      <c r="M54" s="12">
        <f t="shared" si="29"/>
        <v>0</v>
      </c>
      <c r="N54" s="13"/>
      <c r="O54" s="12">
        <f t="shared" si="30"/>
        <v>71181985</v>
      </c>
      <c r="P54" s="12">
        <f t="shared" si="31"/>
        <v>52699879.829999998</v>
      </c>
      <c r="Q54" s="14">
        <f t="shared" si="32"/>
        <v>18482105.170000002</v>
      </c>
      <c r="R54" s="17">
        <f t="shared" si="33"/>
        <v>0.74035417570892403</v>
      </c>
    </row>
    <row r="55" spans="2:18" s="48" customFormat="1" ht="24.95" customHeight="1">
      <c r="B55" s="72" t="s">
        <v>175</v>
      </c>
      <c r="C55" s="32">
        <f>SUM(C46:C54)</f>
        <v>7403106307.71</v>
      </c>
      <c r="D55" s="32">
        <f>SUM(D46:D54)</f>
        <v>6324782107.7293739</v>
      </c>
      <c r="E55" s="32">
        <f t="shared" si="25"/>
        <v>1078324199.9806261</v>
      </c>
      <c r="F55" s="33"/>
      <c r="G55" s="32">
        <f>SUM(G46:G54)</f>
        <v>420249341.16000003</v>
      </c>
      <c r="H55" s="32">
        <f>SUM(H46:H54)</f>
        <v>431914288.82000005</v>
      </c>
      <c r="I55" s="32">
        <f t="shared" si="27"/>
        <v>-11664947.660000026</v>
      </c>
      <c r="J55" s="32"/>
      <c r="K55" s="32">
        <f>SUM(K46:K54)</f>
        <v>596057163.78999996</v>
      </c>
      <c r="L55" s="32">
        <f>SUM(L46:L54)</f>
        <v>608014852.43999994</v>
      </c>
      <c r="M55" s="32">
        <f t="shared" si="29"/>
        <v>-11957688.649999976</v>
      </c>
      <c r="N55" s="33"/>
      <c r="O55" s="32">
        <f t="shared" si="30"/>
        <v>8419412812.6599998</v>
      </c>
      <c r="P55" s="32">
        <f t="shared" si="31"/>
        <v>7364711248.9893732</v>
      </c>
      <c r="Q55" s="34">
        <f t="shared" si="32"/>
        <v>1054701563.6706266</v>
      </c>
      <c r="R55" s="65">
        <f t="shared" si="33"/>
        <v>0.87472979563554532</v>
      </c>
    </row>
    <row r="56" spans="2:18" ht="24.95" customHeight="1">
      <c r="B56" s="18"/>
      <c r="C56" s="32"/>
      <c r="D56" s="32"/>
      <c r="E56" s="32"/>
      <c r="F56" s="13"/>
      <c r="G56" s="32"/>
      <c r="H56" s="32"/>
      <c r="I56" s="32"/>
      <c r="J56" s="12"/>
      <c r="K56" s="32"/>
      <c r="L56" s="32"/>
      <c r="M56" s="32"/>
      <c r="N56" s="13"/>
      <c r="O56" s="32"/>
      <c r="P56" s="32"/>
      <c r="Q56" s="34"/>
      <c r="R56" s="65"/>
    </row>
    <row r="57" spans="2:18" ht="24.95" customHeight="1">
      <c r="B57" s="70" t="s">
        <v>154</v>
      </c>
      <c r="C57" s="12"/>
      <c r="D57" s="12"/>
      <c r="E57" s="12"/>
      <c r="F57" s="13"/>
      <c r="G57" s="12"/>
      <c r="H57" s="12"/>
      <c r="I57" s="12"/>
      <c r="J57" s="12"/>
      <c r="K57" s="12"/>
      <c r="L57" s="12"/>
      <c r="M57" s="12"/>
      <c r="N57" s="13"/>
      <c r="O57" s="12"/>
      <c r="P57" s="12"/>
      <c r="Q57" s="14"/>
      <c r="R57" s="17"/>
    </row>
    <row r="58" spans="2:18" ht="24.95" customHeight="1">
      <c r="B58" s="64" t="s">
        <v>14</v>
      </c>
      <c r="C58" s="12">
        <f>+april!F8</f>
        <v>494277775</v>
      </c>
      <c r="D58" s="12">
        <f>+april!G8</f>
        <v>494277568.47000003</v>
      </c>
      <c r="E58" s="12">
        <f t="shared" ref="E58:E67" si="58">+C58-D58</f>
        <v>206.52999997138977</v>
      </c>
      <c r="F58" s="13"/>
      <c r="G58" s="12">
        <f>+april!J8</f>
        <v>0</v>
      </c>
      <c r="H58" s="12">
        <f>+april!K8</f>
        <v>0</v>
      </c>
      <c r="I58" s="12">
        <f t="shared" ref="I58:I67" si="59">+G58-H58</f>
        <v>0</v>
      </c>
      <c r="J58" s="12"/>
      <c r="K58" s="12">
        <f>+april!N8</f>
        <v>941836</v>
      </c>
      <c r="L58" s="12">
        <f>+april!O8</f>
        <v>370970.9</v>
      </c>
      <c r="M58" s="12">
        <f t="shared" ref="M58:M67" si="60">+K58-L58</f>
        <v>570865.1</v>
      </c>
      <c r="N58" s="13"/>
      <c r="O58" s="12">
        <f t="shared" ref="O58:O67" si="61">+C58+G58+K58</f>
        <v>495219611</v>
      </c>
      <c r="P58" s="12">
        <f t="shared" ref="P58:P67" si="62">+D58+H58+L58</f>
        <v>494648539.37</v>
      </c>
      <c r="Q58" s="14">
        <f t="shared" ref="Q58:Q67" si="63">+O58-P58</f>
        <v>571071.62999999523</v>
      </c>
      <c r="R58" s="17">
        <f t="shared" ref="R58:R67" si="64">+P58/O58</f>
        <v>0.99884683155247667</v>
      </c>
    </row>
    <row r="59" spans="2:18" ht="24.95" customHeight="1">
      <c r="B59" s="64" t="s">
        <v>172</v>
      </c>
      <c r="C59" s="12">
        <f>+SUM(april!F13:F17)+SUM(april!F35:F46)</f>
        <v>737068090.40999997</v>
      </c>
      <c r="D59" s="12">
        <f>+SUM(april!G13:G17)+SUM(april!G35:G46)</f>
        <v>424904737.58999997</v>
      </c>
      <c r="E59" s="12">
        <f t="shared" si="58"/>
        <v>312163352.81999999</v>
      </c>
      <c r="F59" s="13"/>
      <c r="G59" s="12">
        <f>+SUM(april!J13:J17)+SUM(april!J35:J46)</f>
        <v>7797660</v>
      </c>
      <c r="H59" s="12">
        <f>+SUM(april!K13:K17)+SUM(april!K35:K46)</f>
        <v>7339000</v>
      </c>
      <c r="I59" s="12">
        <f t="shared" si="59"/>
        <v>458660</v>
      </c>
      <c r="J59" s="12"/>
      <c r="K59" s="12">
        <f>+SUM(april!N13:N17)+SUM(april!N35:N46)</f>
        <v>8798146.0399999991</v>
      </c>
      <c r="L59" s="12">
        <f>+SUM(april!O13:O17)+SUM(april!O35:O46)</f>
        <v>7189894.3300000001</v>
      </c>
      <c r="M59" s="12">
        <f t="shared" si="60"/>
        <v>1608251.709999999</v>
      </c>
      <c r="N59" s="13"/>
      <c r="O59" s="12">
        <f t="shared" si="61"/>
        <v>753663896.44999993</v>
      </c>
      <c r="P59" s="12">
        <f t="shared" si="62"/>
        <v>439433631.91999996</v>
      </c>
      <c r="Q59" s="14">
        <f t="shared" si="63"/>
        <v>314230264.52999997</v>
      </c>
      <c r="R59" s="17">
        <f t="shared" si="64"/>
        <v>0.58306313197417858</v>
      </c>
    </row>
    <row r="60" spans="2:18" ht="24.95" customHeight="1">
      <c r="B60" s="64" t="s">
        <v>170</v>
      </c>
      <c r="C60" s="12">
        <f>+april!F53+SUM(april!F20:F32)</f>
        <v>619616125</v>
      </c>
      <c r="D60" s="12">
        <f>+april!G53+SUM(april!G20:G32)</f>
        <v>397262985.38999999</v>
      </c>
      <c r="E60" s="12">
        <f t="shared" si="58"/>
        <v>222353139.61000001</v>
      </c>
      <c r="F60" s="13"/>
      <c r="G60" s="12">
        <f>+april!J53+SUM(april!J20:J32)</f>
        <v>9422892</v>
      </c>
      <c r="H60" s="12">
        <f>+april!K53+SUM(april!K20:K32)</f>
        <v>9422892</v>
      </c>
      <c r="I60" s="12">
        <f t="shared" si="59"/>
        <v>0</v>
      </c>
      <c r="J60" s="12"/>
      <c r="K60" s="12">
        <f>+april!N53+SUM(april!N20:N32)</f>
        <v>131489747.11</v>
      </c>
      <c r="L60" s="12">
        <f>+april!O53+SUM(april!O20:O32)</f>
        <v>23083960.68</v>
      </c>
      <c r="M60" s="12">
        <f t="shared" si="60"/>
        <v>108405786.43000001</v>
      </c>
      <c r="N60" s="13"/>
      <c r="O60" s="12">
        <f t="shared" si="61"/>
        <v>760528764.11000001</v>
      </c>
      <c r="P60" s="12">
        <f t="shared" si="62"/>
        <v>429769838.06999999</v>
      </c>
      <c r="Q60" s="14">
        <f t="shared" si="63"/>
        <v>330758926.04000002</v>
      </c>
      <c r="R60" s="17">
        <f t="shared" si="64"/>
        <v>0.56509346963744778</v>
      </c>
    </row>
    <row r="61" spans="2:18" ht="24.95" customHeight="1">
      <c r="B61" s="64" t="s">
        <v>164</v>
      </c>
      <c r="C61" s="12">
        <f>+april!F83</f>
        <v>310472680</v>
      </c>
      <c r="D61" s="12">
        <f>+april!G83</f>
        <v>174876645.25</v>
      </c>
      <c r="E61" s="12">
        <f t="shared" si="58"/>
        <v>135596034.75</v>
      </c>
      <c r="F61" s="13"/>
      <c r="G61" s="12">
        <f>+april!J83</f>
        <v>35483000</v>
      </c>
      <c r="H61" s="12">
        <f>+april!K83</f>
        <v>35483000</v>
      </c>
      <c r="I61" s="12">
        <f t="shared" si="59"/>
        <v>0</v>
      </c>
      <c r="J61" s="12"/>
      <c r="K61" s="12">
        <f>+april!N83</f>
        <v>15784071.789999999</v>
      </c>
      <c r="L61" s="12">
        <f>+april!O83</f>
        <v>34334288.649999999</v>
      </c>
      <c r="M61" s="12">
        <f t="shared" si="60"/>
        <v>-18550216.859999999</v>
      </c>
      <c r="N61" s="13"/>
      <c r="O61" s="12">
        <f t="shared" si="61"/>
        <v>361739751.79000002</v>
      </c>
      <c r="P61" s="12">
        <f t="shared" si="62"/>
        <v>244693933.90000001</v>
      </c>
      <c r="Q61" s="14">
        <f t="shared" si="63"/>
        <v>117045817.89000002</v>
      </c>
      <c r="R61" s="17">
        <f t="shared" si="64"/>
        <v>0.67643639574909542</v>
      </c>
    </row>
    <row r="62" spans="2:18" ht="24.95" customHeight="1">
      <c r="B62" s="64" t="s">
        <v>165</v>
      </c>
      <c r="C62" s="12">
        <f>april!F106</f>
        <v>573565280.72000003</v>
      </c>
      <c r="D62" s="12">
        <f>april!G106</f>
        <v>221067247.93999997</v>
      </c>
      <c r="E62" s="12">
        <f t="shared" si="58"/>
        <v>352498032.78000009</v>
      </c>
      <c r="F62" s="13"/>
      <c r="G62" s="12">
        <f>april!J106</f>
        <v>41106673</v>
      </c>
      <c r="H62" s="12">
        <f>april!K106</f>
        <v>24226843.149999999</v>
      </c>
      <c r="I62" s="12">
        <f t="shared" si="59"/>
        <v>16879829.850000001</v>
      </c>
      <c r="J62" s="12"/>
      <c r="K62" s="12">
        <f>april!N106</f>
        <v>19109508</v>
      </c>
      <c r="L62" s="12">
        <f>april!O106</f>
        <v>14895113.100000001</v>
      </c>
      <c r="M62" s="12">
        <f t="shared" si="60"/>
        <v>4214394.8999999985</v>
      </c>
      <c r="N62" s="13"/>
      <c r="O62" s="12">
        <f t="shared" si="61"/>
        <v>633781461.72000003</v>
      </c>
      <c r="P62" s="12">
        <f t="shared" si="62"/>
        <v>260189204.18999997</v>
      </c>
      <c r="Q62" s="14">
        <f t="shared" si="63"/>
        <v>373592257.53000009</v>
      </c>
      <c r="R62" s="17">
        <f t="shared" si="64"/>
        <v>0.41053457683012767</v>
      </c>
    </row>
    <row r="63" spans="2:18" ht="24.95" customHeight="1">
      <c r="B63" s="64" t="s">
        <v>166</v>
      </c>
      <c r="C63" s="12">
        <f>+april!F49</f>
        <v>20356000</v>
      </c>
      <c r="D63" s="12">
        <f>+april!G49</f>
        <v>6033528.2599999998</v>
      </c>
      <c r="E63" s="12">
        <f t="shared" si="58"/>
        <v>14322471.74</v>
      </c>
      <c r="F63" s="13"/>
      <c r="G63" s="12">
        <f>+april!J49</f>
        <v>0</v>
      </c>
      <c r="H63" s="12">
        <f>+april!K49</f>
        <v>0</v>
      </c>
      <c r="I63" s="12">
        <f t="shared" si="59"/>
        <v>0</v>
      </c>
      <c r="J63" s="12"/>
      <c r="K63" s="12">
        <f>+april!N49</f>
        <v>0</v>
      </c>
      <c r="L63" s="12">
        <f>+april!O49</f>
        <v>0</v>
      </c>
      <c r="M63" s="12">
        <f t="shared" si="60"/>
        <v>0</v>
      </c>
      <c r="N63" s="13"/>
      <c r="O63" s="12">
        <f t="shared" si="61"/>
        <v>20356000</v>
      </c>
      <c r="P63" s="12">
        <f t="shared" si="62"/>
        <v>6033528.2599999998</v>
      </c>
      <c r="Q63" s="14">
        <f t="shared" si="63"/>
        <v>14322471.74</v>
      </c>
      <c r="R63" s="17">
        <f t="shared" si="64"/>
        <v>0.29640048437807032</v>
      </c>
    </row>
    <row r="64" spans="2:18" ht="24.95" customHeight="1">
      <c r="B64" s="64" t="s">
        <v>167</v>
      </c>
      <c r="C64" s="12">
        <f>+april!F50</f>
        <v>25474000</v>
      </c>
      <c r="D64" s="12">
        <f>+april!G50</f>
        <v>23853862.960000001</v>
      </c>
      <c r="E64" s="12">
        <f t="shared" si="58"/>
        <v>1620137.0399999991</v>
      </c>
      <c r="F64" s="13"/>
      <c r="G64" s="12">
        <f>+april!J50</f>
        <v>0</v>
      </c>
      <c r="H64" s="12">
        <f>+april!K50</f>
        <v>0</v>
      </c>
      <c r="I64" s="12">
        <f t="shared" si="59"/>
        <v>0</v>
      </c>
      <c r="J64" s="12"/>
      <c r="K64" s="12">
        <f>+april!N50</f>
        <v>536533</v>
      </c>
      <c r="L64" s="12">
        <f>+april!O50</f>
        <v>286887.90000000002</v>
      </c>
      <c r="M64" s="12">
        <f t="shared" si="60"/>
        <v>249645.09999999998</v>
      </c>
      <c r="N64" s="13"/>
      <c r="O64" s="12">
        <f t="shared" si="61"/>
        <v>26010533</v>
      </c>
      <c r="P64" s="12">
        <f t="shared" si="62"/>
        <v>24140750.859999999</v>
      </c>
      <c r="Q64" s="14">
        <f t="shared" si="63"/>
        <v>1869782.1400000006</v>
      </c>
      <c r="R64" s="17">
        <f t="shared" si="64"/>
        <v>0.9281144242603564</v>
      </c>
    </row>
    <row r="65" spans="2:18" ht="24.95" customHeight="1">
      <c r="B65" s="64" t="s">
        <v>168</v>
      </c>
      <c r="C65" s="12">
        <f>+april!F140</f>
        <v>27730000</v>
      </c>
      <c r="D65" s="12">
        <f>+april!G140</f>
        <v>17859241.940000001</v>
      </c>
      <c r="E65" s="12">
        <f t="shared" si="58"/>
        <v>9870758.0599999987</v>
      </c>
      <c r="F65" s="13"/>
      <c r="G65" s="12">
        <f>+april!J140</f>
        <v>0</v>
      </c>
      <c r="H65" s="12">
        <f>+april!K140</f>
        <v>0</v>
      </c>
      <c r="I65" s="12">
        <f t="shared" si="59"/>
        <v>0</v>
      </c>
      <c r="J65" s="12"/>
      <c r="K65" s="12">
        <f>+april!N140</f>
        <v>0</v>
      </c>
      <c r="L65" s="12">
        <f>+april!O140</f>
        <v>0</v>
      </c>
      <c r="M65" s="12">
        <f t="shared" si="60"/>
        <v>0</v>
      </c>
      <c r="N65" s="13"/>
      <c r="O65" s="12">
        <f t="shared" si="61"/>
        <v>27730000</v>
      </c>
      <c r="P65" s="12">
        <f t="shared" si="62"/>
        <v>17859241.940000001</v>
      </c>
      <c r="Q65" s="14">
        <f t="shared" si="63"/>
        <v>9870758.0599999987</v>
      </c>
      <c r="R65" s="17">
        <f t="shared" si="64"/>
        <v>0.64404045943022004</v>
      </c>
    </row>
    <row r="66" spans="2:18" ht="24.95" customHeight="1">
      <c r="B66" s="64" t="s">
        <v>169</v>
      </c>
      <c r="C66" s="12">
        <f>+april!F141</f>
        <v>27311000</v>
      </c>
      <c r="D66" s="12">
        <f>+april!G141</f>
        <v>19128377.75</v>
      </c>
      <c r="E66" s="12">
        <f t="shared" si="58"/>
        <v>8182622.25</v>
      </c>
      <c r="F66" s="13"/>
      <c r="G66" s="12">
        <f>+april!J141</f>
        <v>0</v>
      </c>
      <c r="H66" s="12">
        <f>+april!K141</f>
        <v>0</v>
      </c>
      <c r="I66" s="12">
        <f t="shared" si="59"/>
        <v>0</v>
      </c>
      <c r="J66" s="12"/>
      <c r="K66" s="12">
        <f>+april!N141</f>
        <v>345800</v>
      </c>
      <c r="L66" s="12">
        <f>+april!O141</f>
        <v>345799.75</v>
      </c>
      <c r="M66" s="12">
        <f t="shared" si="60"/>
        <v>0.25</v>
      </c>
      <c r="N66" s="13"/>
      <c r="O66" s="12">
        <f t="shared" si="61"/>
        <v>27656800</v>
      </c>
      <c r="P66" s="12">
        <f t="shared" si="62"/>
        <v>19474177.5</v>
      </c>
      <c r="Q66" s="14">
        <f t="shared" si="63"/>
        <v>8182622.5</v>
      </c>
      <c r="R66" s="17">
        <f t="shared" si="64"/>
        <v>0.70413704767001239</v>
      </c>
    </row>
    <row r="67" spans="2:18" ht="24.95" customHeight="1">
      <c r="B67" s="71" t="s">
        <v>176</v>
      </c>
      <c r="C67" s="12">
        <f>SUM(C58:C66)</f>
        <v>2835870951.1300001</v>
      </c>
      <c r="D67" s="12">
        <f>SUM(D58:D66)</f>
        <v>1779264195.55</v>
      </c>
      <c r="E67" s="12">
        <f t="shared" si="58"/>
        <v>1056606755.5800002</v>
      </c>
      <c r="F67" s="13"/>
      <c r="G67" s="12">
        <f>SUM(G58:G66)</f>
        <v>93810225</v>
      </c>
      <c r="H67" s="12">
        <f>SUM(H58:H66)</f>
        <v>76471735.150000006</v>
      </c>
      <c r="I67" s="12">
        <f t="shared" si="59"/>
        <v>17338489.849999994</v>
      </c>
      <c r="J67" s="12"/>
      <c r="K67" s="12">
        <f>SUM(K58:K66)</f>
        <v>177005641.94</v>
      </c>
      <c r="L67" s="12">
        <f>SUM(L58:L66)</f>
        <v>80506915.310000002</v>
      </c>
      <c r="M67" s="12">
        <f t="shared" si="60"/>
        <v>96498726.629999995</v>
      </c>
      <c r="N67" s="13"/>
      <c r="O67" s="12">
        <f t="shared" si="61"/>
        <v>3106686818.0700002</v>
      </c>
      <c r="P67" s="12">
        <f t="shared" si="62"/>
        <v>1936242846.01</v>
      </c>
      <c r="Q67" s="14">
        <f t="shared" si="63"/>
        <v>1170443972.0600002</v>
      </c>
      <c r="R67" s="17">
        <f t="shared" si="64"/>
        <v>0.62325009226802996</v>
      </c>
    </row>
    <row r="68" spans="2:18" ht="24.95" customHeight="1">
      <c r="B68" s="18"/>
      <c r="C68" s="12"/>
      <c r="D68" s="12"/>
      <c r="E68" s="12"/>
      <c r="F68" s="13"/>
      <c r="G68" s="12"/>
      <c r="H68" s="12"/>
      <c r="I68" s="12"/>
      <c r="J68" s="12"/>
      <c r="K68" s="12"/>
      <c r="L68" s="12"/>
      <c r="M68" s="12"/>
      <c r="N68" s="13"/>
      <c r="O68" s="12"/>
      <c r="P68" s="12"/>
      <c r="Q68" s="14"/>
      <c r="R68" s="17"/>
    </row>
    <row r="69" spans="2:18" ht="24.95" customHeight="1">
      <c r="B69" s="70" t="s">
        <v>155</v>
      </c>
      <c r="C69" s="12"/>
      <c r="D69" s="12"/>
      <c r="E69" s="12"/>
      <c r="F69" s="13"/>
      <c r="G69" s="12"/>
      <c r="H69" s="12"/>
      <c r="I69" s="12"/>
      <c r="J69" s="12"/>
      <c r="K69" s="12"/>
      <c r="L69" s="12"/>
      <c r="M69" s="12"/>
      <c r="N69" s="13"/>
      <c r="O69" s="12"/>
      <c r="P69" s="12"/>
      <c r="Q69" s="14"/>
      <c r="R69" s="17"/>
    </row>
    <row r="70" spans="2:18" ht="24.95" customHeight="1">
      <c r="B70" s="64" t="s">
        <v>14</v>
      </c>
      <c r="C70" s="12">
        <f>+may!F8</f>
        <v>974847124.95000005</v>
      </c>
      <c r="D70" s="12">
        <f>+may!G8</f>
        <v>974847193.40999997</v>
      </c>
      <c r="E70" s="12">
        <f t="shared" ref="E70:E79" si="65">+C70-D70</f>
        <v>-68.459999918937683</v>
      </c>
      <c r="F70" s="13"/>
      <c r="G70" s="12">
        <f>+may!J8</f>
        <v>0</v>
      </c>
      <c r="H70" s="12">
        <f>+may!K8</f>
        <v>0</v>
      </c>
      <c r="I70" s="12">
        <f t="shared" ref="I70:I79" si="66">+G70-H70</f>
        <v>0</v>
      </c>
      <c r="J70" s="12"/>
      <c r="K70" s="12">
        <f>+may!N8</f>
        <v>412923</v>
      </c>
      <c r="L70" s="12">
        <f>+may!O8</f>
        <v>196261.99</v>
      </c>
      <c r="M70" s="12">
        <f t="shared" ref="M70:M79" si="67">+K70-L70</f>
        <v>216661.01</v>
      </c>
      <c r="N70" s="13"/>
      <c r="O70" s="12">
        <f t="shared" ref="O70:O79" si="68">+C70+G70+K70</f>
        <v>975260047.95000005</v>
      </c>
      <c r="P70" s="12">
        <f t="shared" ref="P70:P79" si="69">+D70+H70+L70</f>
        <v>975043455.39999998</v>
      </c>
      <c r="Q70" s="14">
        <f t="shared" ref="Q70:Q79" si="70">+O70-P70</f>
        <v>216592.55000007153</v>
      </c>
      <c r="R70" s="17">
        <f t="shared" ref="R70:R79" si="71">+P70/O70</f>
        <v>0.99977791302898611</v>
      </c>
    </row>
    <row r="71" spans="2:18" ht="24.95" customHeight="1">
      <c r="B71" s="64" t="s">
        <v>172</v>
      </c>
      <c r="C71" s="12">
        <f>+SUM(may!F13:F17)+SUM(may!F35:F46)</f>
        <v>749925727.94000006</v>
      </c>
      <c r="D71" s="12">
        <f>+SUM(may!G13:G17)+SUM(may!G35:G46)</f>
        <v>593684493.21000004</v>
      </c>
      <c r="E71" s="12">
        <f t="shared" si="65"/>
        <v>156241234.73000002</v>
      </c>
      <c r="F71" s="13"/>
      <c r="G71" s="12">
        <f>+SUM(may!J13:J17)+SUM(may!J35:J46)</f>
        <v>3221789.87</v>
      </c>
      <c r="H71" s="12">
        <f>+SUM(may!K13:K17)+SUM(may!K35:K46)</f>
        <v>1135236.42</v>
      </c>
      <c r="I71" s="12">
        <f t="shared" si="66"/>
        <v>2086553.4500000002</v>
      </c>
      <c r="J71" s="12"/>
      <c r="K71" s="12">
        <f>+SUM(may!N13:N17)+SUM(may!N35:N46)</f>
        <v>6726979.6899999995</v>
      </c>
      <c r="L71" s="12">
        <f>+SUM(may!O13:O17)+SUM(may!O35:O46)</f>
        <v>12611995.33</v>
      </c>
      <c r="M71" s="12">
        <f t="shared" si="67"/>
        <v>-5885015.6400000006</v>
      </c>
      <c r="N71" s="13"/>
      <c r="O71" s="12">
        <f t="shared" si="68"/>
        <v>759874497.50000012</v>
      </c>
      <c r="P71" s="12">
        <f t="shared" si="69"/>
        <v>607431724.96000004</v>
      </c>
      <c r="Q71" s="14">
        <f t="shared" si="70"/>
        <v>152442772.54000008</v>
      </c>
      <c r="R71" s="17">
        <f t="shared" si="71"/>
        <v>0.79938427590142924</v>
      </c>
    </row>
    <row r="72" spans="2:18" ht="24.95" customHeight="1">
      <c r="B72" s="64" t="s">
        <v>170</v>
      </c>
      <c r="C72" s="12">
        <f>+may!F53+SUM(may!F20:F32)</f>
        <v>668689461</v>
      </c>
      <c r="D72" s="12">
        <f>+may!G53+SUM(may!G20:G32)</f>
        <v>550857947.36000001</v>
      </c>
      <c r="E72" s="12">
        <f t="shared" si="65"/>
        <v>117831513.63999999</v>
      </c>
      <c r="F72" s="13"/>
      <c r="G72" s="12">
        <f>+may!J53+SUM(may!J20:J32)</f>
        <v>154727962</v>
      </c>
      <c r="H72" s="12">
        <f>+may!K53+SUM(may!K20:K32)</f>
        <v>93570403.310000002</v>
      </c>
      <c r="I72" s="12">
        <f t="shared" si="66"/>
        <v>61157558.689999998</v>
      </c>
      <c r="J72" s="12"/>
      <c r="K72" s="12">
        <f>+may!N53+SUM(may!N20:N32)</f>
        <v>66867281.909999996</v>
      </c>
      <c r="L72" s="12">
        <f>+may!O53+SUM(may!O20:O32)</f>
        <v>14670535.299999999</v>
      </c>
      <c r="M72" s="12">
        <f t="shared" si="67"/>
        <v>52196746.609999999</v>
      </c>
      <c r="N72" s="13"/>
      <c r="O72" s="12">
        <f t="shared" si="68"/>
        <v>890284704.90999997</v>
      </c>
      <c r="P72" s="12">
        <f t="shared" si="69"/>
        <v>659098885.97000003</v>
      </c>
      <c r="Q72" s="14">
        <f t="shared" si="70"/>
        <v>231185818.93999994</v>
      </c>
      <c r="R72" s="17">
        <f t="shared" si="71"/>
        <v>0.74032372154099757</v>
      </c>
    </row>
    <row r="73" spans="2:18" ht="24.95" customHeight="1">
      <c r="B73" s="64" t="s">
        <v>164</v>
      </c>
      <c r="C73" s="12">
        <f>+may!F83</f>
        <v>361155467.39999998</v>
      </c>
      <c r="D73" s="12">
        <f>+may!G83</f>
        <v>259756410.50999996</v>
      </c>
      <c r="E73" s="12">
        <f t="shared" si="65"/>
        <v>101399056.89000002</v>
      </c>
      <c r="F73" s="13"/>
      <c r="G73" s="12">
        <f>+may!J83</f>
        <v>143682000</v>
      </c>
      <c r="H73" s="12">
        <f>+may!K83</f>
        <v>83357151.979999989</v>
      </c>
      <c r="I73" s="12">
        <f t="shared" si="66"/>
        <v>60324848.020000011</v>
      </c>
      <c r="J73" s="12"/>
      <c r="K73" s="12">
        <f>+may!N83</f>
        <v>40989921.469999999</v>
      </c>
      <c r="L73" s="12">
        <f>+may!O83</f>
        <v>57946007.439999998</v>
      </c>
      <c r="M73" s="12">
        <f t="shared" si="67"/>
        <v>-16956085.969999999</v>
      </c>
      <c r="N73" s="13"/>
      <c r="O73" s="12">
        <f t="shared" si="68"/>
        <v>545827388.87</v>
      </c>
      <c r="P73" s="12">
        <f t="shared" si="69"/>
        <v>401059569.92999995</v>
      </c>
      <c r="Q73" s="14">
        <f t="shared" si="70"/>
        <v>144767818.94000006</v>
      </c>
      <c r="R73" s="17">
        <f t="shared" si="71"/>
        <v>0.73477362643947597</v>
      </c>
    </row>
    <row r="74" spans="2:18" ht="24.95" customHeight="1">
      <c r="B74" s="64" t="s">
        <v>165</v>
      </c>
      <c r="C74" s="12">
        <f>may!F106</f>
        <v>416484739</v>
      </c>
      <c r="D74" s="12">
        <f>may!G106</f>
        <v>362231182.8300001</v>
      </c>
      <c r="E74" s="12">
        <f t="shared" si="65"/>
        <v>54253556.169999897</v>
      </c>
      <c r="F74" s="13"/>
      <c r="G74" s="12">
        <f>may!J106</f>
        <v>104196123.18000001</v>
      </c>
      <c r="H74" s="12">
        <f>may!K106</f>
        <v>60839924.820000008</v>
      </c>
      <c r="I74" s="12">
        <f t="shared" si="66"/>
        <v>43356198.359999999</v>
      </c>
      <c r="J74" s="12"/>
      <c r="K74" s="12">
        <f>may!N106</f>
        <v>10037968</v>
      </c>
      <c r="L74" s="12">
        <f>may!O106</f>
        <v>5000173.88</v>
      </c>
      <c r="M74" s="12">
        <f t="shared" si="67"/>
        <v>5037794.12</v>
      </c>
      <c r="N74" s="13"/>
      <c r="O74" s="12">
        <f t="shared" si="68"/>
        <v>530718830.18000001</v>
      </c>
      <c r="P74" s="12">
        <f t="shared" si="69"/>
        <v>428071281.53000009</v>
      </c>
      <c r="Q74" s="14">
        <f t="shared" si="70"/>
        <v>102647548.64999992</v>
      </c>
      <c r="R74" s="17">
        <f t="shared" si="71"/>
        <v>0.80658770178705419</v>
      </c>
    </row>
    <row r="75" spans="2:18" ht="24.95" customHeight="1">
      <c r="B75" s="64" t="s">
        <v>166</v>
      </c>
      <c r="C75" s="12">
        <f>+may!F49</f>
        <v>19402000</v>
      </c>
      <c r="D75" s="12">
        <f>+may!G49</f>
        <v>8503040.8800000008</v>
      </c>
      <c r="E75" s="12">
        <f t="shared" si="65"/>
        <v>10898959.119999999</v>
      </c>
      <c r="F75" s="13"/>
      <c r="G75" s="12">
        <f>+may!J49</f>
        <v>0</v>
      </c>
      <c r="H75" s="12">
        <f>+may!K49</f>
        <v>0</v>
      </c>
      <c r="I75" s="12">
        <f t="shared" si="66"/>
        <v>0</v>
      </c>
      <c r="J75" s="12"/>
      <c r="K75" s="12">
        <f>+may!N49</f>
        <v>0</v>
      </c>
      <c r="L75" s="12">
        <f>+may!O49</f>
        <v>0</v>
      </c>
      <c r="M75" s="12">
        <f t="shared" si="67"/>
        <v>0</v>
      </c>
      <c r="N75" s="13"/>
      <c r="O75" s="12">
        <f t="shared" si="68"/>
        <v>19402000</v>
      </c>
      <c r="P75" s="12">
        <f t="shared" si="69"/>
        <v>8503040.8800000008</v>
      </c>
      <c r="Q75" s="14">
        <f t="shared" si="70"/>
        <v>10898959.119999999</v>
      </c>
      <c r="R75" s="17">
        <f t="shared" si="71"/>
        <v>0.43825589526852904</v>
      </c>
    </row>
    <row r="76" spans="2:18" ht="24.95" customHeight="1">
      <c r="B76" s="64" t="s">
        <v>167</v>
      </c>
      <c r="C76" s="12">
        <f>+may!F50</f>
        <v>42544000</v>
      </c>
      <c r="D76" s="12">
        <f>+may!G50</f>
        <v>22217721.719999999</v>
      </c>
      <c r="E76" s="12">
        <f t="shared" si="65"/>
        <v>20326278.280000001</v>
      </c>
      <c r="F76" s="13"/>
      <c r="G76" s="12">
        <f>+may!J50</f>
        <v>0</v>
      </c>
      <c r="H76" s="12">
        <f>+may!K50</f>
        <v>0</v>
      </c>
      <c r="I76" s="12">
        <f t="shared" si="66"/>
        <v>0</v>
      </c>
      <c r="J76" s="12"/>
      <c r="K76" s="12">
        <f>+may!N50</f>
        <v>242469</v>
      </c>
      <c r="L76" s="12">
        <f>+may!O50</f>
        <v>190941.01</v>
      </c>
      <c r="M76" s="12">
        <f t="shared" si="67"/>
        <v>51527.989999999991</v>
      </c>
      <c r="N76" s="13"/>
      <c r="O76" s="12">
        <f t="shared" si="68"/>
        <v>42786469</v>
      </c>
      <c r="P76" s="12">
        <f t="shared" si="69"/>
        <v>22408662.73</v>
      </c>
      <c r="Q76" s="14">
        <f t="shared" si="70"/>
        <v>20377806.27</v>
      </c>
      <c r="R76" s="17">
        <f t="shared" si="71"/>
        <v>0.52373246154058661</v>
      </c>
    </row>
    <row r="77" spans="2:18" ht="24.95" customHeight="1">
      <c r="B77" s="64" t="s">
        <v>168</v>
      </c>
      <c r="C77" s="12">
        <f>+may!F140</f>
        <v>34002000</v>
      </c>
      <c r="D77" s="12">
        <f>+may!G140</f>
        <v>20661269.66</v>
      </c>
      <c r="E77" s="12">
        <f t="shared" si="65"/>
        <v>13340730.34</v>
      </c>
      <c r="F77" s="13"/>
      <c r="G77" s="12">
        <f>+may!J140</f>
        <v>0</v>
      </c>
      <c r="H77" s="12">
        <f>+may!K140</f>
        <v>0</v>
      </c>
      <c r="I77" s="12">
        <f t="shared" si="66"/>
        <v>0</v>
      </c>
      <c r="J77" s="12"/>
      <c r="K77" s="12">
        <f>+may!N140</f>
        <v>0</v>
      </c>
      <c r="L77" s="12">
        <f>+may!O140</f>
        <v>0</v>
      </c>
      <c r="M77" s="12">
        <f t="shared" si="67"/>
        <v>0</v>
      </c>
      <c r="N77" s="13"/>
      <c r="O77" s="12">
        <f t="shared" si="68"/>
        <v>34002000</v>
      </c>
      <c r="P77" s="12">
        <f t="shared" si="69"/>
        <v>20661269.66</v>
      </c>
      <c r="Q77" s="14">
        <f t="shared" si="70"/>
        <v>13340730.34</v>
      </c>
      <c r="R77" s="17">
        <f t="shared" si="71"/>
        <v>0.60764865772601617</v>
      </c>
    </row>
    <row r="78" spans="2:18" ht="24.95" customHeight="1">
      <c r="B78" s="64" t="s">
        <v>169</v>
      </c>
      <c r="C78" s="12">
        <f>+may!F141</f>
        <v>30770000</v>
      </c>
      <c r="D78" s="12">
        <f>+may!G141</f>
        <v>19001084.690000001</v>
      </c>
      <c r="E78" s="12">
        <f t="shared" si="65"/>
        <v>11768915.309999999</v>
      </c>
      <c r="F78" s="13"/>
      <c r="G78" s="12">
        <f>+may!J141</f>
        <v>0</v>
      </c>
      <c r="H78" s="12">
        <f>+may!K141</f>
        <v>0</v>
      </c>
      <c r="I78" s="12">
        <f t="shared" si="66"/>
        <v>0</v>
      </c>
      <c r="J78" s="12"/>
      <c r="K78" s="12">
        <f>+may!N141</f>
        <v>0</v>
      </c>
      <c r="L78" s="12">
        <f>+may!O141</f>
        <v>0</v>
      </c>
      <c r="M78" s="12">
        <f t="shared" si="67"/>
        <v>0</v>
      </c>
      <c r="N78" s="13"/>
      <c r="O78" s="12">
        <f t="shared" si="68"/>
        <v>30770000</v>
      </c>
      <c r="P78" s="12">
        <f t="shared" si="69"/>
        <v>19001084.690000001</v>
      </c>
      <c r="Q78" s="14">
        <f t="shared" si="70"/>
        <v>11768915.309999999</v>
      </c>
      <c r="R78" s="17">
        <f t="shared" si="71"/>
        <v>0.61751981442963932</v>
      </c>
    </row>
    <row r="79" spans="2:18" ht="24.95" customHeight="1">
      <c r="B79" s="71" t="s">
        <v>177</v>
      </c>
      <c r="C79" s="12">
        <f>SUM(C70:C78)</f>
        <v>3297820520.2900004</v>
      </c>
      <c r="D79" s="12">
        <f>SUM(D70:D78)</f>
        <v>2811760344.2699995</v>
      </c>
      <c r="E79" s="12">
        <f t="shared" si="65"/>
        <v>486060176.02000093</v>
      </c>
      <c r="F79" s="13"/>
      <c r="G79" s="12">
        <f>SUM(G70:G78)</f>
        <v>405827875.05000001</v>
      </c>
      <c r="H79" s="12">
        <f>SUM(H70:H78)</f>
        <v>238902716.52999997</v>
      </c>
      <c r="I79" s="12">
        <f t="shared" si="66"/>
        <v>166925158.52000004</v>
      </c>
      <c r="J79" s="12"/>
      <c r="K79" s="12">
        <f>SUM(K70:K78)</f>
        <v>125277543.06999999</v>
      </c>
      <c r="L79" s="12">
        <f>SUM(L70:L78)</f>
        <v>90615914.950000003</v>
      </c>
      <c r="M79" s="12">
        <f t="shared" si="67"/>
        <v>34661628.11999999</v>
      </c>
      <c r="N79" s="13"/>
      <c r="O79" s="12">
        <f t="shared" si="68"/>
        <v>3828925938.4100008</v>
      </c>
      <c r="P79" s="12">
        <f t="shared" si="69"/>
        <v>3141278975.749999</v>
      </c>
      <c r="Q79" s="14">
        <f t="shared" si="70"/>
        <v>687646962.66000175</v>
      </c>
      <c r="R79" s="17">
        <f t="shared" si="71"/>
        <v>0.82040734824305483</v>
      </c>
    </row>
    <row r="80" spans="2:18" ht="24.95" customHeight="1">
      <c r="B80" s="18"/>
      <c r="C80" s="12"/>
      <c r="D80" s="12"/>
      <c r="E80" s="12"/>
      <c r="F80" s="13"/>
      <c r="G80" s="12"/>
      <c r="H80" s="12"/>
      <c r="I80" s="12"/>
      <c r="J80" s="12"/>
      <c r="K80" s="12"/>
      <c r="L80" s="12"/>
      <c r="M80" s="12"/>
      <c r="N80" s="13"/>
      <c r="O80" s="12"/>
      <c r="P80" s="12"/>
      <c r="Q80" s="14"/>
      <c r="R80" s="17"/>
    </row>
    <row r="81" spans="2:18" ht="24.95" customHeight="1">
      <c r="B81" s="70" t="s">
        <v>156</v>
      </c>
      <c r="C81" s="12"/>
      <c r="D81" s="12"/>
      <c r="E81" s="12"/>
      <c r="F81" s="13"/>
      <c r="G81" s="12"/>
      <c r="H81" s="12"/>
      <c r="I81" s="12"/>
      <c r="J81" s="12"/>
      <c r="K81" s="12"/>
      <c r="L81" s="12"/>
      <c r="M81" s="12"/>
      <c r="N81" s="13"/>
      <c r="O81" s="12"/>
      <c r="P81" s="12"/>
      <c r="Q81" s="14"/>
      <c r="R81" s="17"/>
    </row>
    <row r="82" spans="2:18" ht="24.95" customHeight="1">
      <c r="B82" s="64" t="s">
        <v>14</v>
      </c>
      <c r="C82" s="12">
        <f>+june!F8</f>
        <v>839926227.44000006</v>
      </c>
      <c r="D82" s="12">
        <f>+june!G8</f>
        <v>752101484.49000001</v>
      </c>
      <c r="E82" s="12">
        <f t="shared" ref="E82:E91" si="72">+C82-D82</f>
        <v>87824742.950000048</v>
      </c>
      <c r="F82" s="13"/>
      <c r="G82" s="12">
        <f>+june!J8</f>
        <v>0</v>
      </c>
      <c r="H82" s="12">
        <f>+june!K8</f>
        <v>0</v>
      </c>
      <c r="I82" s="12">
        <f t="shared" ref="I82:I91" si="73">+G82-H82</f>
        <v>0</v>
      </c>
      <c r="J82" s="12"/>
      <c r="K82" s="12">
        <f>+june!N8</f>
        <v>404573</v>
      </c>
      <c r="L82" s="12">
        <f>+june!O8</f>
        <v>20861.05</v>
      </c>
      <c r="M82" s="12">
        <f t="shared" ref="M82:M91" si="74">+K82-L82</f>
        <v>383711.95</v>
      </c>
      <c r="N82" s="13"/>
      <c r="O82" s="12">
        <f t="shared" ref="O82:O91" si="75">+C82+G82+K82</f>
        <v>840330800.44000006</v>
      </c>
      <c r="P82" s="12">
        <f t="shared" ref="P82:P91" si="76">+D82+H82+L82</f>
        <v>752122345.53999996</v>
      </c>
      <c r="Q82" s="14">
        <f t="shared" ref="Q82:Q91" si="77">+O82-P82</f>
        <v>88208454.900000095</v>
      </c>
      <c r="R82" s="17">
        <f t="shared" ref="R82:R91" si="78">+P82/O82</f>
        <v>0.89503127238247859</v>
      </c>
    </row>
    <row r="83" spans="2:18" ht="24.95" customHeight="1">
      <c r="B83" s="64" t="s">
        <v>172</v>
      </c>
      <c r="C83" s="12">
        <f>+SUM(june!F13:F17)+SUM(june!F35:F46)</f>
        <v>911337421.43999994</v>
      </c>
      <c r="D83" s="12">
        <f>+SUM(june!G13:G17)+SUM(june!G35:G46)</f>
        <v>729865039.98000002</v>
      </c>
      <c r="E83" s="12">
        <f t="shared" si="72"/>
        <v>181472381.45999992</v>
      </c>
      <c r="F83" s="13"/>
      <c r="G83" s="12">
        <f>+SUM(june!J13:J17)+SUM(june!J35:J46)</f>
        <v>21234786.809999999</v>
      </c>
      <c r="H83" s="12">
        <f>+SUM(june!K13:K17)+SUM(june!K35:K46)</f>
        <v>22394860.539999999</v>
      </c>
      <c r="I83" s="12">
        <f t="shared" si="73"/>
        <v>-1160073.7300000004</v>
      </c>
      <c r="J83" s="12"/>
      <c r="K83" s="12">
        <f>+SUM(june!N13:N17)+SUM(june!N35:N46)</f>
        <v>5023309</v>
      </c>
      <c r="L83" s="12">
        <f>+SUM(june!O13:O17)+SUM(june!O35:O46)</f>
        <v>16222691.5</v>
      </c>
      <c r="M83" s="12">
        <f t="shared" si="74"/>
        <v>-11199382.5</v>
      </c>
      <c r="N83" s="13"/>
      <c r="O83" s="12">
        <f t="shared" si="75"/>
        <v>937595517.24999988</v>
      </c>
      <c r="P83" s="12">
        <f t="shared" si="76"/>
        <v>768482592.01999998</v>
      </c>
      <c r="Q83" s="14">
        <f t="shared" si="77"/>
        <v>169112925.2299999</v>
      </c>
      <c r="R83" s="17">
        <f t="shared" si="78"/>
        <v>0.81963125663610892</v>
      </c>
    </row>
    <row r="84" spans="2:18" ht="24.95" customHeight="1">
      <c r="B84" s="64" t="s">
        <v>170</v>
      </c>
      <c r="C84" s="12">
        <f>+june!F53+SUM(june!F20:F32)</f>
        <v>640383448.52999997</v>
      </c>
      <c r="D84" s="12">
        <f>+june!G53+SUM(june!G20:G32)</f>
        <v>782014070.96000004</v>
      </c>
      <c r="E84" s="12">
        <f t="shared" si="72"/>
        <v>-141630622.43000007</v>
      </c>
      <c r="F84" s="13"/>
      <c r="G84" s="12">
        <f>+june!J53+SUM(june!J20:J32)</f>
        <v>50876985.75</v>
      </c>
      <c r="H84" s="12">
        <f>+june!K53+SUM(june!K20:K32)</f>
        <v>111537327.72999999</v>
      </c>
      <c r="I84" s="12">
        <f t="shared" si="73"/>
        <v>-60660341.979999989</v>
      </c>
      <c r="J84" s="12"/>
      <c r="K84" s="12">
        <f>+june!N53+SUM(june!N20:N32)</f>
        <v>90778161</v>
      </c>
      <c r="L84" s="12">
        <f>+june!O53+SUM(june!O20:O32)</f>
        <v>180280219.44999999</v>
      </c>
      <c r="M84" s="12">
        <f t="shared" si="74"/>
        <v>-89502058.449999988</v>
      </c>
      <c r="N84" s="13"/>
      <c r="O84" s="12">
        <f t="shared" si="75"/>
        <v>782038595.27999997</v>
      </c>
      <c r="P84" s="12">
        <f t="shared" si="76"/>
        <v>1073831618.1400001</v>
      </c>
      <c r="Q84" s="14">
        <f t="shared" si="77"/>
        <v>-291793022.86000013</v>
      </c>
      <c r="R84" s="17">
        <f t="shared" si="78"/>
        <v>1.3731184427739489</v>
      </c>
    </row>
    <row r="85" spans="2:18" ht="24.95" customHeight="1">
      <c r="B85" s="64" t="s">
        <v>164</v>
      </c>
      <c r="C85" s="12">
        <f>+june!F83</f>
        <v>266545680</v>
      </c>
      <c r="D85" s="12">
        <f>+june!G83</f>
        <v>255656376.37</v>
      </c>
      <c r="E85" s="12">
        <f t="shared" si="72"/>
        <v>10889303.629999995</v>
      </c>
      <c r="F85" s="13"/>
      <c r="G85" s="12">
        <f>+june!J83</f>
        <v>68782000</v>
      </c>
      <c r="H85" s="12">
        <f>+june!K83</f>
        <v>129269876.03</v>
      </c>
      <c r="I85" s="12">
        <f t="shared" si="73"/>
        <v>-60487876.030000001</v>
      </c>
      <c r="J85" s="12"/>
      <c r="K85" s="12">
        <f>+june!N83</f>
        <v>1092074.54</v>
      </c>
      <c r="L85" s="12">
        <f>+june!O83</f>
        <v>29254034.469999999</v>
      </c>
      <c r="M85" s="12">
        <f t="shared" si="74"/>
        <v>-28161959.93</v>
      </c>
      <c r="N85" s="13"/>
      <c r="O85" s="12">
        <f t="shared" si="75"/>
        <v>336419754.54000002</v>
      </c>
      <c r="P85" s="12">
        <f t="shared" si="76"/>
        <v>414180286.87</v>
      </c>
      <c r="Q85" s="14">
        <f t="shared" si="77"/>
        <v>-77760532.329999983</v>
      </c>
      <c r="R85" s="17">
        <f t="shared" si="78"/>
        <v>1.2311413978537764</v>
      </c>
    </row>
    <row r="86" spans="2:18" ht="24.95" customHeight="1">
      <c r="B86" s="64" t="s">
        <v>165</v>
      </c>
      <c r="C86" s="12">
        <f>june!F106</f>
        <v>464802643</v>
      </c>
      <c r="D86" s="12">
        <f>june!G106</f>
        <v>570204054.70000005</v>
      </c>
      <c r="E86" s="12">
        <f t="shared" si="72"/>
        <v>-105401411.70000005</v>
      </c>
      <c r="F86" s="13"/>
      <c r="G86" s="12">
        <f>june!J106</f>
        <v>39300000</v>
      </c>
      <c r="H86" s="12">
        <f>june!K106</f>
        <v>97597702.620000005</v>
      </c>
      <c r="I86" s="12">
        <f t="shared" si="73"/>
        <v>-58297702.620000005</v>
      </c>
      <c r="J86" s="12"/>
      <c r="K86" s="12">
        <f>june!N106</f>
        <v>6303266.6600000001</v>
      </c>
      <c r="L86" s="12">
        <f>june!O106</f>
        <v>8439337.5999999996</v>
      </c>
      <c r="M86" s="12">
        <f t="shared" si="74"/>
        <v>-2136070.9399999995</v>
      </c>
      <c r="N86" s="13"/>
      <c r="O86" s="12">
        <f t="shared" si="75"/>
        <v>510405909.66000003</v>
      </c>
      <c r="P86" s="12">
        <f t="shared" si="76"/>
        <v>676241094.92000008</v>
      </c>
      <c r="Q86" s="14">
        <f t="shared" si="77"/>
        <v>-165835185.26000005</v>
      </c>
      <c r="R86" s="17">
        <f t="shared" si="78"/>
        <v>1.3249084348777798</v>
      </c>
    </row>
    <row r="87" spans="2:18" ht="24.95" customHeight="1">
      <c r="B87" s="64" t="s">
        <v>166</v>
      </c>
      <c r="C87" s="12">
        <f>+june!F49</f>
        <v>19402000</v>
      </c>
      <c r="D87" s="12">
        <f>+june!G49</f>
        <v>20140259.920000002</v>
      </c>
      <c r="E87" s="12">
        <f t="shared" si="72"/>
        <v>-738259.92000000179</v>
      </c>
      <c r="F87" s="13"/>
      <c r="G87" s="12">
        <f>+june!J49</f>
        <v>0</v>
      </c>
      <c r="H87" s="12">
        <f>+june!K49</f>
        <v>0</v>
      </c>
      <c r="I87" s="12">
        <f t="shared" si="73"/>
        <v>0</v>
      </c>
      <c r="J87" s="12"/>
      <c r="K87" s="12">
        <f>+june!N49</f>
        <v>0</v>
      </c>
      <c r="L87" s="12">
        <f>+june!O49</f>
        <v>0</v>
      </c>
      <c r="M87" s="12">
        <f t="shared" si="74"/>
        <v>0</v>
      </c>
      <c r="N87" s="13"/>
      <c r="O87" s="12">
        <f t="shared" si="75"/>
        <v>19402000</v>
      </c>
      <c r="P87" s="12">
        <f t="shared" si="76"/>
        <v>20140259.920000002</v>
      </c>
      <c r="Q87" s="14">
        <f t="shared" si="77"/>
        <v>-738259.92000000179</v>
      </c>
      <c r="R87" s="17">
        <f t="shared" si="78"/>
        <v>1.0380507122977014</v>
      </c>
    </row>
    <row r="88" spans="2:18" ht="24.95" customHeight="1">
      <c r="B88" s="64" t="s">
        <v>167</v>
      </c>
      <c r="C88" s="12">
        <f>+june!F50</f>
        <v>37037000</v>
      </c>
      <c r="D88" s="12">
        <f>+june!G50</f>
        <v>20455204.239999998</v>
      </c>
      <c r="E88" s="12">
        <f t="shared" si="72"/>
        <v>16581795.760000002</v>
      </c>
      <c r="F88" s="13"/>
      <c r="G88" s="12">
        <f>+june!J50</f>
        <v>0</v>
      </c>
      <c r="H88" s="12">
        <f>+june!K50</f>
        <v>0</v>
      </c>
      <c r="I88" s="12">
        <f t="shared" si="73"/>
        <v>0</v>
      </c>
      <c r="J88" s="12"/>
      <c r="K88" s="12">
        <f>+june!N50</f>
        <v>349476</v>
      </c>
      <c r="L88" s="12">
        <f>+june!O50</f>
        <v>222060.55</v>
      </c>
      <c r="M88" s="12">
        <f t="shared" si="74"/>
        <v>127415.45000000001</v>
      </c>
      <c r="N88" s="13"/>
      <c r="O88" s="12">
        <f t="shared" si="75"/>
        <v>37386476</v>
      </c>
      <c r="P88" s="12">
        <f t="shared" si="76"/>
        <v>20677264.789999999</v>
      </c>
      <c r="Q88" s="14">
        <f t="shared" si="77"/>
        <v>16709211.210000001</v>
      </c>
      <c r="R88" s="17">
        <f t="shared" si="78"/>
        <v>0.55306803428063134</v>
      </c>
    </row>
    <row r="89" spans="2:18" ht="24.95" customHeight="1">
      <c r="B89" s="64" t="s">
        <v>168</v>
      </c>
      <c r="C89" s="12">
        <f>+june!F140</f>
        <v>53005000</v>
      </c>
      <c r="D89" s="12">
        <f>+june!G140</f>
        <v>56915306.200000003</v>
      </c>
      <c r="E89" s="12">
        <f t="shared" si="72"/>
        <v>-3910306.200000003</v>
      </c>
      <c r="F89" s="13"/>
      <c r="G89" s="12">
        <f>+june!J140</f>
        <v>0</v>
      </c>
      <c r="H89" s="12">
        <f>+june!K140</f>
        <v>0</v>
      </c>
      <c r="I89" s="12">
        <f t="shared" si="73"/>
        <v>0</v>
      </c>
      <c r="J89" s="12"/>
      <c r="K89" s="12">
        <f>+june!N140</f>
        <v>0</v>
      </c>
      <c r="L89" s="12">
        <f>+june!O140</f>
        <v>0</v>
      </c>
      <c r="M89" s="12">
        <f t="shared" si="74"/>
        <v>0</v>
      </c>
      <c r="N89" s="13"/>
      <c r="O89" s="12">
        <f t="shared" si="75"/>
        <v>53005000</v>
      </c>
      <c r="P89" s="12">
        <f t="shared" si="76"/>
        <v>56915306.200000003</v>
      </c>
      <c r="Q89" s="14">
        <f t="shared" si="77"/>
        <v>-3910306.200000003</v>
      </c>
      <c r="R89" s="17">
        <f t="shared" si="78"/>
        <v>1.073772402603528</v>
      </c>
    </row>
    <row r="90" spans="2:18" ht="24.95" customHeight="1">
      <c r="B90" s="64" t="s">
        <v>169</v>
      </c>
      <c r="C90" s="12">
        <f>+june!F141</f>
        <v>28586000</v>
      </c>
      <c r="D90" s="12">
        <f>+june!G141</f>
        <v>26554511.899999999</v>
      </c>
      <c r="E90" s="12">
        <f t="shared" si="72"/>
        <v>2031488.1000000015</v>
      </c>
      <c r="F90" s="13"/>
      <c r="G90" s="12">
        <f>+june!J141</f>
        <v>0</v>
      </c>
      <c r="H90" s="12">
        <f>+june!K141</f>
        <v>0</v>
      </c>
      <c r="I90" s="12">
        <f t="shared" si="73"/>
        <v>0</v>
      </c>
      <c r="J90" s="12"/>
      <c r="K90" s="12">
        <f>+june!N141</f>
        <v>912321</v>
      </c>
      <c r="L90" s="12">
        <f>+june!O141</f>
        <v>912320.99</v>
      </c>
      <c r="M90" s="12">
        <f t="shared" si="74"/>
        <v>1.0000000009313226E-2</v>
      </c>
      <c r="N90" s="13"/>
      <c r="O90" s="12">
        <f t="shared" si="75"/>
        <v>29498321</v>
      </c>
      <c r="P90" s="12">
        <f t="shared" si="76"/>
        <v>27466832.889999997</v>
      </c>
      <c r="Q90" s="14">
        <f t="shared" si="77"/>
        <v>2031488.1100000031</v>
      </c>
      <c r="R90" s="17">
        <f t="shared" si="78"/>
        <v>0.93113207663581932</v>
      </c>
    </row>
    <row r="91" spans="2:18" ht="24.95" customHeight="1">
      <c r="B91" s="71" t="s">
        <v>178</v>
      </c>
      <c r="C91" s="12">
        <f>SUM(C82:C90)</f>
        <v>3261025420.4099998</v>
      </c>
      <c r="D91" s="12">
        <f>SUM(D82:D90)</f>
        <v>3213906308.7599998</v>
      </c>
      <c r="E91" s="12">
        <f t="shared" si="72"/>
        <v>47119111.650000095</v>
      </c>
      <c r="F91" s="13"/>
      <c r="G91" s="12">
        <f>SUM(G82:G90)</f>
        <v>180193772.56</v>
      </c>
      <c r="H91" s="12">
        <f>SUM(H82:H90)</f>
        <v>360799766.91999996</v>
      </c>
      <c r="I91" s="12">
        <f t="shared" si="73"/>
        <v>-180605994.35999995</v>
      </c>
      <c r="J91" s="12"/>
      <c r="K91" s="12">
        <f>SUM(K82:K90)</f>
        <v>104863181.2</v>
      </c>
      <c r="L91" s="12">
        <f>SUM(L82:L90)</f>
        <v>235351525.61000001</v>
      </c>
      <c r="M91" s="12">
        <f t="shared" si="74"/>
        <v>-130488344.41000001</v>
      </c>
      <c r="N91" s="13"/>
      <c r="O91" s="12">
        <f t="shared" si="75"/>
        <v>3546082374.1699996</v>
      </c>
      <c r="P91" s="12">
        <f t="shared" si="76"/>
        <v>3810057601.29</v>
      </c>
      <c r="Q91" s="14">
        <f t="shared" si="77"/>
        <v>-263975227.12000036</v>
      </c>
      <c r="R91" s="17">
        <f t="shared" si="78"/>
        <v>1.0744413691692052</v>
      </c>
    </row>
    <row r="92" spans="2:18" ht="28.5" customHeight="1">
      <c r="B92" s="67"/>
      <c r="C92" s="12"/>
      <c r="D92" s="12"/>
      <c r="E92" s="12"/>
      <c r="F92" s="13"/>
      <c r="G92" s="12"/>
      <c r="H92" s="12"/>
      <c r="I92" s="12"/>
      <c r="J92" s="12"/>
      <c r="K92" s="12"/>
      <c r="L92" s="12"/>
      <c r="M92" s="12"/>
      <c r="N92" s="13"/>
      <c r="O92" s="12"/>
      <c r="P92" s="12"/>
      <c r="Q92" s="14"/>
      <c r="R92" s="17"/>
    </row>
    <row r="93" spans="2:18" ht="24.95" customHeight="1">
      <c r="B93" s="73" t="s">
        <v>181</v>
      </c>
      <c r="C93" s="12"/>
      <c r="D93" s="12"/>
      <c r="E93" s="12"/>
      <c r="F93" s="13"/>
      <c r="G93" s="12"/>
      <c r="H93" s="12"/>
      <c r="I93" s="12"/>
      <c r="J93" s="12"/>
      <c r="K93" s="12"/>
      <c r="L93" s="12"/>
      <c r="M93" s="12"/>
      <c r="N93" s="13"/>
      <c r="O93" s="12"/>
      <c r="P93" s="12"/>
      <c r="Q93" s="14"/>
      <c r="R93" s="17"/>
    </row>
    <row r="94" spans="2:18" ht="24.95" customHeight="1">
      <c r="B94" s="64" t="s">
        <v>14</v>
      </c>
      <c r="C94" s="12">
        <f>+C58+C70+C82</f>
        <v>2309051127.3900003</v>
      </c>
      <c r="D94" s="12">
        <f t="shared" ref="D94:D102" si="79">+D58+D70+D82</f>
        <v>2221226246.3699999</v>
      </c>
      <c r="E94" s="12">
        <f t="shared" ref="E94:E103" si="80">+C94-D94</f>
        <v>87824881.020000458</v>
      </c>
      <c r="F94" s="13"/>
      <c r="G94" s="12">
        <f>+G58+G70+G82</f>
        <v>0</v>
      </c>
      <c r="H94" s="12">
        <f t="shared" ref="H94:H102" si="81">+H58+H70+H82</f>
        <v>0</v>
      </c>
      <c r="I94" s="12">
        <f t="shared" ref="I94:I103" si="82">+G94-H94</f>
        <v>0</v>
      </c>
      <c r="J94" s="12"/>
      <c r="K94" s="12">
        <f>+K58+K70+K82</f>
        <v>1759332</v>
      </c>
      <c r="L94" s="12">
        <f t="shared" ref="L94:L102" si="83">+L58+L70+L82</f>
        <v>588093.94000000006</v>
      </c>
      <c r="M94" s="12">
        <f t="shared" ref="M94:M103" si="84">+K94-L94</f>
        <v>1171238.06</v>
      </c>
      <c r="N94" s="13"/>
      <c r="O94" s="12">
        <f t="shared" ref="O94:O103" si="85">+C94+G94+K94</f>
        <v>2310810459.3900003</v>
      </c>
      <c r="P94" s="12">
        <f t="shared" ref="P94:P103" si="86">+D94+H94+L94</f>
        <v>2221814340.3099999</v>
      </c>
      <c r="Q94" s="14">
        <f t="shared" ref="Q94:Q103" si="87">+O94-P94</f>
        <v>88996119.080000401</v>
      </c>
      <c r="R94" s="17">
        <f t="shared" ref="R94:R103" si="88">+P94/O94</f>
        <v>0.96148705372248777</v>
      </c>
    </row>
    <row r="95" spans="2:18" ht="24.95" customHeight="1">
      <c r="B95" s="64" t="s">
        <v>172</v>
      </c>
      <c r="C95" s="12">
        <f t="shared" ref="C95" si="89">+C59+C71+C83</f>
        <v>2398331239.79</v>
      </c>
      <c r="D95" s="12">
        <f t="shared" si="79"/>
        <v>1748454270.78</v>
      </c>
      <c r="E95" s="12">
        <f t="shared" si="80"/>
        <v>649876969.00999999</v>
      </c>
      <c r="F95" s="13"/>
      <c r="G95" s="12">
        <f t="shared" ref="G95" si="90">+G59+G71+G83</f>
        <v>32254236.68</v>
      </c>
      <c r="H95" s="12">
        <f t="shared" si="81"/>
        <v>30869096.960000001</v>
      </c>
      <c r="I95" s="12">
        <f t="shared" si="82"/>
        <v>1385139.7199999988</v>
      </c>
      <c r="J95" s="12"/>
      <c r="K95" s="12">
        <f t="shared" ref="K95" si="91">+K59+K71+K83</f>
        <v>20548434.729999997</v>
      </c>
      <c r="L95" s="12">
        <f t="shared" si="83"/>
        <v>36024581.159999996</v>
      </c>
      <c r="M95" s="12">
        <f t="shared" si="84"/>
        <v>-15476146.43</v>
      </c>
      <c r="N95" s="13"/>
      <c r="O95" s="12">
        <f t="shared" si="85"/>
        <v>2451133911.1999998</v>
      </c>
      <c r="P95" s="12">
        <f t="shared" si="86"/>
        <v>1815347948.9000001</v>
      </c>
      <c r="Q95" s="14">
        <f t="shared" si="87"/>
        <v>635785962.29999971</v>
      </c>
      <c r="R95" s="17">
        <f t="shared" si="88"/>
        <v>0.740615574124737</v>
      </c>
    </row>
    <row r="96" spans="2:18" ht="24.95" customHeight="1">
      <c r="B96" s="64" t="s">
        <v>170</v>
      </c>
      <c r="C96" s="12">
        <f t="shared" ref="C96" si="92">+C60+C72+C84</f>
        <v>1928689034.53</v>
      </c>
      <c r="D96" s="12">
        <f t="shared" si="79"/>
        <v>1730135003.71</v>
      </c>
      <c r="E96" s="12">
        <f t="shared" si="80"/>
        <v>198554030.81999993</v>
      </c>
      <c r="F96" s="13"/>
      <c r="G96" s="12">
        <f t="shared" ref="G96" si="93">+G60+G72+G84</f>
        <v>215027839.75</v>
      </c>
      <c r="H96" s="12">
        <f t="shared" si="81"/>
        <v>214530623.03999999</v>
      </c>
      <c r="I96" s="12">
        <f t="shared" si="82"/>
        <v>497216.71000000834</v>
      </c>
      <c r="J96" s="12"/>
      <c r="K96" s="12">
        <f t="shared" ref="K96" si="94">+K60+K72+K84</f>
        <v>289135190.01999998</v>
      </c>
      <c r="L96" s="12">
        <f t="shared" si="83"/>
        <v>218034715.42999998</v>
      </c>
      <c r="M96" s="12">
        <f t="shared" si="84"/>
        <v>71100474.590000004</v>
      </c>
      <c r="N96" s="13"/>
      <c r="O96" s="12">
        <f t="shared" si="85"/>
        <v>2432852064.3000002</v>
      </c>
      <c r="P96" s="12">
        <f t="shared" si="86"/>
        <v>2162700342.1799998</v>
      </c>
      <c r="Q96" s="14">
        <f t="shared" si="87"/>
        <v>270151722.12000036</v>
      </c>
      <c r="R96" s="17">
        <f t="shared" si="88"/>
        <v>0.88895678200732253</v>
      </c>
    </row>
    <row r="97" spans="2:18" ht="24.95" customHeight="1">
      <c r="B97" s="64" t="s">
        <v>164</v>
      </c>
      <c r="C97" s="12">
        <f t="shared" ref="C97" si="95">+C61+C73+C85</f>
        <v>938173827.39999998</v>
      </c>
      <c r="D97" s="12">
        <f t="shared" si="79"/>
        <v>690289432.13</v>
      </c>
      <c r="E97" s="12">
        <f t="shared" si="80"/>
        <v>247884395.26999998</v>
      </c>
      <c r="F97" s="13"/>
      <c r="G97" s="12">
        <f t="shared" ref="G97" si="96">+G61+G73+G85</f>
        <v>247947000</v>
      </c>
      <c r="H97" s="12">
        <f t="shared" si="81"/>
        <v>248110028.00999999</v>
      </c>
      <c r="I97" s="12">
        <f t="shared" si="82"/>
        <v>-163028.00999999046</v>
      </c>
      <c r="J97" s="12"/>
      <c r="K97" s="12">
        <f t="shared" ref="K97" si="97">+K61+K73+K85</f>
        <v>57866067.799999997</v>
      </c>
      <c r="L97" s="12">
        <f t="shared" si="83"/>
        <v>121534330.56</v>
      </c>
      <c r="M97" s="12">
        <f t="shared" si="84"/>
        <v>-63668262.760000005</v>
      </c>
      <c r="N97" s="13"/>
      <c r="O97" s="12">
        <f t="shared" si="85"/>
        <v>1243986895.2</v>
      </c>
      <c r="P97" s="12">
        <f t="shared" si="86"/>
        <v>1059933790.7</v>
      </c>
      <c r="Q97" s="14">
        <f t="shared" si="87"/>
        <v>184053104.5</v>
      </c>
      <c r="R97" s="17">
        <f t="shared" si="88"/>
        <v>0.85204578503987438</v>
      </c>
    </row>
    <row r="98" spans="2:18" ht="24.95" customHeight="1">
      <c r="B98" s="64" t="s">
        <v>165</v>
      </c>
      <c r="C98" s="12">
        <f t="shared" ref="C98" si="98">+C62+C74+C86</f>
        <v>1454852662.72</v>
      </c>
      <c r="D98" s="12">
        <f t="shared" si="79"/>
        <v>1153502485.4700003</v>
      </c>
      <c r="E98" s="12">
        <f t="shared" si="80"/>
        <v>301350177.24999976</v>
      </c>
      <c r="F98" s="13"/>
      <c r="G98" s="12">
        <f t="shared" ref="G98" si="99">+G62+G74+G86</f>
        <v>184602796.18000001</v>
      </c>
      <c r="H98" s="12">
        <f t="shared" si="81"/>
        <v>182664470.59</v>
      </c>
      <c r="I98" s="12">
        <f t="shared" si="82"/>
        <v>1938325.5900000036</v>
      </c>
      <c r="J98" s="12"/>
      <c r="K98" s="12">
        <f t="shared" ref="K98" si="100">+K62+K74+K86</f>
        <v>35450742.659999996</v>
      </c>
      <c r="L98" s="12">
        <f t="shared" si="83"/>
        <v>28334624.579999998</v>
      </c>
      <c r="M98" s="12">
        <f t="shared" si="84"/>
        <v>7116118.0799999982</v>
      </c>
      <c r="N98" s="13"/>
      <c r="O98" s="12">
        <f t="shared" si="85"/>
        <v>1674906201.5600002</v>
      </c>
      <c r="P98" s="12">
        <f t="shared" si="86"/>
        <v>1364501580.6400001</v>
      </c>
      <c r="Q98" s="14">
        <f t="shared" si="87"/>
        <v>310404620.92000008</v>
      </c>
      <c r="R98" s="17">
        <f t="shared" si="88"/>
        <v>0.81467343029066908</v>
      </c>
    </row>
    <row r="99" spans="2:18" ht="24.95" customHeight="1">
      <c r="B99" s="64" t="s">
        <v>166</v>
      </c>
      <c r="C99" s="12">
        <f t="shared" ref="C99" si="101">+C63+C75+C87</f>
        <v>59160000</v>
      </c>
      <c r="D99" s="12">
        <f t="shared" si="79"/>
        <v>34676829.060000002</v>
      </c>
      <c r="E99" s="12">
        <f t="shared" si="80"/>
        <v>24483170.939999998</v>
      </c>
      <c r="F99" s="13"/>
      <c r="G99" s="12">
        <f t="shared" ref="G99" si="102">+G63+G75+G87</f>
        <v>0</v>
      </c>
      <c r="H99" s="12">
        <f t="shared" si="81"/>
        <v>0</v>
      </c>
      <c r="I99" s="12">
        <f t="shared" si="82"/>
        <v>0</v>
      </c>
      <c r="J99" s="12"/>
      <c r="K99" s="12">
        <f t="shared" ref="K99" si="103">+K63+K75+K87</f>
        <v>0</v>
      </c>
      <c r="L99" s="12">
        <f t="shared" si="83"/>
        <v>0</v>
      </c>
      <c r="M99" s="12">
        <f t="shared" si="84"/>
        <v>0</v>
      </c>
      <c r="N99" s="13"/>
      <c r="O99" s="12">
        <f t="shared" si="85"/>
        <v>59160000</v>
      </c>
      <c r="P99" s="12">
        <f t="shared" si="86"/>
        <v>34676829.060000002</v>
      </c>
      <c r="Q99" s="14">
        <f t="shared" si="87"/>
        <v>24483170.939999998</v>
      </c>
      <c r="R99" s="17">
        <f t="shared" si="88"/>
        <v>0.58615329716024345</v>
      </c>
    </row>
    <row r="100" spans="2:18" ht="24.95" customHeight="1">
      <c r="B100" s="64" t="s">
        <v>167</v>
      </c>
      <c r="C100" s="12">
        <f t="shared" ref="C100" si="104">+C64+C76+C88</f>
        <v>105055000</v>
      </c>
      <c r="D100" s="12">
        <f t="shared" si="79"/>
        <v>66526788.920000002</v>
      </c>
      <c r="E100" s="12">
        <f t="shared" si="80"/>
        <v>38528211.079999998</v>
      </c>
      <c r="F100" s="13"/>
      <c r="G100" s="12">
        <f t="shared" ref="G100" si="105">+G64+G76+G88</f>
        <v>0</v>
      </c>
      <c r="H100" s="12">
        <f t="shared" si="81"/>
        <v>0</v>
      </c>
      <c r="I100" s="12">
        <f t="shared" si="82"/>
        <v>0</v>
      </c>
      <c r="J100" s="12"/>
      <c r="K100" s="12">
        <f t="shared" ref="K100" si="106">+K64+K76+K88</f>
        <v>1128478</v>
      </c>
      <c r="L100" s="12">
        <f t="shared" si="83"/>
        <v>699889.46</v>
      </c>
      <c r="M100" s="12">
        <f t="shared" si="84"/>
        <v>428588.54000000004</v>
      </c>
      <c r="N100" s="13"/>
      <c r="O100" s="12">
        <f t="shared" si="85"/>
        <v>106183478</v>
      </c>
      <c r="P100" s="12">
        <f t="shared" si="86"/>
        <v>67226678.379999995</v>
      </c>
      <c r="Q100" s="14">
        <f t="shared" si="87"/>
        <v>38956799.620000005</v>
      </c>
      <c r="R100" s="17">
        <f t="shared" si="88"/>
        <v>0.63311806738897736</v>
      </c>
    </row>
    <row r="101" spans="2:18" ht="24.95" customHeight="1">
      <c r="B101" s="64" t="s">
        <v>168</v>
      </c>
      <c r="C101" s="12">
        <f t="shared" ref="C101" si="107">+C65+C77+C89</f>
        <v>114737000</v>
      </c>
      <c r="D101" s="12">
        <f t="shared" si="79"/>
        <v>95435817.800000012</v>
      </c>
      <c r="E101" s="12">
        <f t="shared" si="80"/>
        <v>19301182.199999988</v>
      </c>
      <c r="F101" s="13"/>
      <c r="G101" s="12">
        <f t="shared" ref="G101" si="108">+G65+G77+G89</f>
        <v>0</v>
      </c>
      <c r="H101" s="12">
        <f t="shared" si="81"/>
        <v>0</v>
      </c>
      <c r="I101" s="12">
        <f t="shared" si="82"/>
        <v>0</v>
      </c>
      <c r="J101" s="12"/>
      <c r="K101" s="12">
        <f t="shared" ref="K101" si="109">+K65+K77+K89</f>
        <v>0</v>
      </c>
      <c r="L101" s="12">
        <f t="shared" si="83"/>
        <v>0</v>
      </c>
      <c r="M101" s="12">
        <f t="shared" si="84"/>
        <v>0</v>
      </c>
      <c r="N101" s="13"/>
      <c r="O101" s="12">
        <f t="shared" si="85"/>
        <v>114737000</v>
      </c>
      <c r="P101" s="12">
        <f t="shared" si="86"/>
        <v>95435817.800000012</v>
      </c>
      <c r="Q101" s="14">
        <f t="shared" si="87"/>
        <v>19301182.199999988</v>
      </c>
      <c r="R101" s="17">
        <f t="shared" si="88"/>
        <v>0.8317789187446073</v>
      </c>
    </row>
    <row r="102" spans="2:18" ht="24.95" customHeight="1">
      <c r="B102" s="64" t="s">
        <v>169</v>
      </c>
      <c r="C102" s="12">
        <f t="shared" ref="C102" si="110">+C66+C78+C90</f>
        <v>86667000</v>
      </c>
      <c r="D102" s="12">
        <f t="shared" si="79"/>
        <v>64683974.339999996</v>
      </c>
      <c r="E102" s="12">
        <f t="shared" si="80"/>
        <v>21983025.660000004</v>
      </c>
      <c r="F102" s="13"/>
      <c r="G102" s="12">
        <f t="shared" ref="G102" si="111">+G66+G78+G90</f>
        <v>0</v>
      </c>
      <c r="H102" s="12">
        <f t="shared" si="81"/>
        <v>0</v>
      </c>
      <c r="I102" s="12">
        <f t="shared" si="82"/>
        <v>0</v>
      </c>
      <c r="J102" s="12"/>
      <c r="K102" s="12">
        <f t="shared" ref="K102" si="112">+K66+K78+K90</f>
        <v>1258121</v>
      </c>
      <c r="L102" s="12">
        <f t="shared" si="83"/>
        <v>1258120.74</v>
      </c>
      <c r="M102" s="12">
        <f t="shared" si="84"/>
        <v>0.26000000000931323</v>
      </c>
      <c r="N102" s="13"/>
      <c r="O102" s="12">
        <f t="shared" si="85"/>
        <v>87925121</v>
      </c>
      <c r="P102" s="12">
        <f t="shared" si="86"/>
        <v>65942095.079999998</v>
      </c>
      <c r="Q102" s="14">
        <f t="shared" si="87"/>
        <v>21983025.920000002</v>
      </c>
      <c r="R102" s="17">
        <f t="shared" si="88"/>
        <v>0.74998014594714058</v>
      </c>
    </row>
    <row r="103" spans="2:18" s="48" customFormat="1" ht="24.95" customHeight="1">
      <c r="B103" s="72" t="s">
        <v>180</v>
      </c>
      <c r="C103" s="32">
        <f>SUM(C94:C102)</f>
        <v>9394716891.8299999</v>
      </c>
      <c r="D103" s="32">
        <f>SUM(D94:D102)</f>
        <v>7804930848.5800009</v>
      </c>
      <c r="E103" s="32">
        <f t="shared" si="80"/>
        <v>1589786043.249999</v>
      </c>
      <c r="F103" s="33"/>
      <c r="G103" s="32">
        <f>SUM(G94:G102)</f>
        <v>679831872.61000001</v>
      </c>
      <c r="H103" s="32">
        <f>SUM(H94:H102)</f>
        <v>676174218.60000002</v>
      </c>
      <c r="I103" s="32">
        <f t="shared" si="82"/>
        <v>3657654.0099999905</v>
      </c>
      <c r="J103" s="32"/>
      <c r="K103" s="32">
        <f>SUM(K94:K102)</f>
        <v>407146366.21000004</v>
      </c>
      <c r="L103" s="32">
        <f>SUM(L94:L102)</f>
        <v>406474355.86999995</v>
      </c>
      <c r="M103" s="32">
        <f t="shared" si="84"/>
        <v>672010.34000009298</v>
      </c>
      <c r="N103" s="33"/>
      <c r="O103" s="32">
        <f t="shared" si="85"/>
        <v>10481695130.650002</v>
      </c>
      <c r="P103" s="32">
        <f t="shared" si="86"/>
        <v>8887579423.0500011</v>
      </c>
      <c r="Q103" s="34">
        <f t="shared" si="87"/>
        <v>1594115707.6000004</v>
      </c>
      <c r="R103" s="65">
        <f t="shared" si="88"/>
        <v>0.84791432227993602</v>
      </c>
    </row>
    <row r="104" spans="2:18" ht="24.95" customHeight="1">
      <c r="B104" s="66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4"/>
      <c r="R104" s="34"/>
    </row>
    <row r="105" spans="2:18" ht="24.95" customHeight="1">
      <c r="B105" s="70" t="s">
        <v>157</v>
      </c>
      <c r="C105" s="12"/>
      <c r="D105" s="12"/>
      <c r="E105" s="12"/>
      <c r="F105" s="13"/>
      <c r="G105" s="12"/>
      <c r="H105" s="12"/>
      <c r="I105" s="12"/>
      <c r="J105" s="12"/>
      <c r="K105" s="12"/>
      <c r="L105" s="12"/>
      <c r="M105" s="12"/>
      <c r="N105" s="13"/>
      <c r="O105" s="12"/>
      <c r="P105" s="12"/>
      <c r="Q105" s="14"/>
      <c r="R105" s="17"/>
    </row>
    <row r="106" spans="2:18" ht="24.95" customHeight="1">
      <c r="B106" s="64" t="s">
        <v>14</v>
      </c>
      <c r="C106" s="12">
        <f>+july!F8</f>
        <v>2487776529.1999998</v>
      </c>
      <c r="D106" s="12">
        <f>+july!G8</f>
        <v>641929014.99000001</v>
      </c>
      <c r="E106" s="12">
        <f t="shared" ref="E106:E115" si="113">+C106-D106</f>
        <v>1845847514.2099998</v>
      </c>
      <c r="F106" s="13"/>
      <c r="G106" s="12">
        <f>+july!J8</f>
        <v>0</v>
      </c>
      <c r="H106" s="12">
        <f>+july!K8</f>
        <v>0</v>
      </c>
      <c r="I106" s="12">
        <f t="shared" ref="I106:I115" si="114">+G106-H106</f>
        <v>0</v>
      </c>
      <c r="J106" s="12"/>
      <c r="K106" s="12">
        <f>+july!N8</f>
        <v>120373</v>
      </c>
      <c r="L106" s="12">
        <f>+july!O8</f>
        <v>528887.15</v>
      </c>
      <c r="M106" s="12">
        <f t="shared" ref="M106:M115" si="115">+K106-L106</f>
        <v>-408514.15</v>
      </c>
      <c r="N106" s="13"/>
      <c r="O106" s="12">
        <f t="shared" ref="O106:O115" si="116">+C106+G106+K106</f>
        <v>2487896902.1999998</v>
      </c>
      <c r="P106" s="12">
        <f t="shared" ref="P106:P115" si="117">+D106+H106+L106</f>
        <v>642457902.13999999</v>
      </c>
      <c r="Q106" s="14">
        <f t="shared" ref="Q106:Q115" si="118">+O106-P106</f>
        <v>1845439000.0599999</v>
      </c>
      <c r="R106" s="17">
        <f t="shared" ref="R106:R115" si="119">+P106/O106</f>
        <v>0.25823333015603933</v>
      </c>
    </row>
    <row r="107" spans="2:18" ht="24.95" customHeight="1">
      <c r="B107" s="64" t="s">
        <v>172</v>
      </c>
      <c r="C107" s="12">
        <f>+SUM(july!F13:F17)+SUM(july!F35:F46)</f>
        <v>700548663.38</v>
      </c>
      <c r="D107" s="12">
        <f>+SUM(july!G13:G17)+SUM(july!G35:G46)</f>
        <v>424828910.37000012</v>
      </c>
      <c r="E107" s="12">
        <f t="shared" si="113"/>
        <v>275719753.00999987</v>
      </c>
      <c r="F107" s="13"/>
      <c r="G107" s="12">
        <f>+SUM(july!J13:J17)+SUM(july!J35:J46)</f>
        <v>25837011.539999999</v>
      </c>
      <c r="H107" s="12">
        <f>+SUM(july!K13:K17)+SUM(july!K35:K46)</f>
        <v>21064296.469999999</v>
      </c>
      <c r="I107" s="12">
        <f t="shared" si="114"/>
        <v>4772715.07</v>
      </c>
      <c r="J107" s="12"/>
      <c r="K107" s="12">
        <f>+SUM(july!N13:N17)+SUM(july!N35:N46)</f>
        <v>5650296.8900000006</v>
      </c>
      <c r="L107" s="12">
        <f>+SUM(july!O13:O17)+SUM(july!O35:O46)</f>
        <v>4832537.8099999996</v>
      </c>
      <c r="M107" s="12">
        <f t="shared" si="115"/>
        <v>817759.08000000101</v>
      </c>
      <c r="N107" s="13"/>
      <c r="O107" s="12">
        <f t="shared" si="116"/>
        <v>732035971.80999994</v>
      </c>
      <c r="P107" s="12">
        <f t="shared" si="117"/>
        <v>450725744.65000015</v>
      </c>
      <c r="Q107" s="14">
        <f t="shared" si="118"/>
        <v>281310227.15999979</v>
      </c>
      <c r="R107" s="17">
        <f t="shared" si="119"/>
        <v>0.61571529543221148</v>
      </c>
    </row>
    <row r="108" spans="2:18" ht="24.95" customHeight="1">
      <c r="B108" s="64" t="s">
        <v>170</v>
      </c>
      <c r="C108" s="12">
        <f>+july!F53+SUM(july!F20:F32)</f>
        <v>1148229362.3</v>
      </c>
      <c r="D108" s="12">
        <f>+july!G53+SUM(july!G20:G32)</f>
        <v>559013340.63999999</v>
      </c>
      <c r="E108" s="12">
        <f t="shared" si="113"/>
        <v>589216021.65999997</v>
      </c>
      <c r="F108" s="13"/>
      <c r="G108" s="12">
        <f>+july!J53+SUM(july!J20:J32)</f>
        <v>58553319.259999998</v>
      </c>
      <c r="H108" s="12">
        <f>+july!K53+SUM(july!K20:K32)</f>
        <v>22792667.809999999</v>
      </c>
      <c r="I108" s="12">
        <f t="shared" si="114"/>
        <v>35760651.450000003</v>
      </c>
      <c r="J108" s="12"/>
      <c r="K108" s="12">
        <f>+july!N53+SUM(july!N20:N32)</f>
        <v>65839398.700000003</v>
      </c>
      <c r="L108" s="12">
        <f>+july!O53+SUM(july!O20:O32)</f>
        <v>24165923.540000003</v>
      </c>
      <c r="M108" s="12">
        <f t="shared" si="115"/>
        <v>41673475.159999996</v>
      </c>
      <c r="N108" s="13"/>
      <c r="O108" s="12">
        <f t="shared" si="116"/>
        <v>1272622080.26</v>
      </c>
      <c r="P108" s="12">
        <f t="shared" si="117"/>
        <v>605971931.98999989</v>
      </c>
      <c r="Q108" s="14">
        <f t="shared" si="118"/>
        <v>666650148.2700001</v>
      </c>
      <c r="R108" s="17">
        <f t="shared" si="119"/>
        <v>0.47616015892651986</v>
      </c>
    </row>
    <row r="109" spans="2:18" ht="24.95" customHeight="1">
      <c r="B109" s="64" t="s">
        <v>164</v>
      </c>
      <c r="C109" s="12">
        <f>+july!F83</f>
        <v>292485476</v>
      </c>
      <c r="D109" s="12">
        <f>+july!G83</f>
        <v>191552116.52000001</v>
      </c>
      <c r="E109" s="12">
        <f t="shared" si="113"/>
        <v>100933359.47999999</v>
      </c>
      <c r="F109" s="13"/>
      <c r="G109" s="12">
        <f>+july!J83</f>
        <v>117651530</v>
      </c>
      <c r="H109" s="12">
        <f>+july!K83</f>
        <v>69280966.629999995</v>
      </c>
      <c r="I109" s="12">
        <f t="shared" si="114"/>
        <v>48370563.370000005</v>
      </c>
      <c r="J109" s="12"/>
      <c r="K109" s="12">
        <f>+july!N83</f>
        <v>1022045.79</v>
      </c>
      <c r="L109" s="12">
        <f>+july!O83</f>
        <v>6167944.1600000001</v>
      </c>
      <c r="M109" s="12">
        <f t="shared" si="115"/>
        <v>-5145898.37</v>
      </c>
      <c r="N109" s="13"/>
      <c r="O109" s="12">
        <f t="shared" si="116"/>
        <v>411159051.79000002</v>
      </c>
      <c r="P109" s="12">
        <f t="shared" si="117"/>
        <v>267001027.31</v>
      </c>
      <c r="Q109" s="14">
        <f t="shared" si="118"/>
        <v>144158024.48000002</v>
      </c>
      <c r="R109" s="17">
        <f t="shared" si="119"/>
        <v>0.64938623179423782</v>
      </c>
    </row>
    <row r="110" spans="2:18" ht="24.95" customHeight="1">
      <c r="B110" s="64" t="s">
        <v>165</v>
      </c>
      <c r="C110" s="12">
        <f>july!F106</f>
        <v>830975991</v>
      </c>
      <c r="D110" s="12">
        <f>july!G106</f>
        <v>253569820.73000002</v>
      </c>
      <c r="E110" s="12">
        <f t="shared" si="113"/>
        <v>577406170.26999998</v>
      </c>
      <c r="F110" s="13"/>
      <c r="G110" s="12">
        <f>july!J106</f>
        <v>30300000</v>
      </c>
      <c r="H110" s="12">
        <f>july!K106</f>
        <v>14663403.220000001</v>
      </c>
      <c r="I110" s="12">
        <f t="shared" si="114"/>
        <v>15636596.779999999</v>
      </c>
      <c r="J110" s="12"/>
      <c r="K110" s="12">
        <f>july!N106</f>
        <v>13043793</v>
      </c>
      <c r="L110" s="12">
        <f>july!O106</f>
        <v>7404872.6099999994</v>
      </c>
      <c r="M110" s="12">
        <f t="shared" si="115"/>
        <v>5638920.3900000006</v>
      </c>
      <c r="N110" s="13"/>
      <c r="O110" s="12">
        <f t="shared" si="116"/>
        <v>874319784</v>
      </c>
      <c r="P110" s="12">
        <f t="shared" si="117"/>
        <v>275638096.56</v>
      </c>
      <c r="Q110" s="14">
        <f t="shared" si="118"/>
        <v>598681687.44000006</v>
      </c>
      <c r="R110" s="17">
        <f t="shared" si="119"/>
        <v>0.31526004741532876</v>
      </c>
    </row>
    <row r="111" spans="2:18" ht="24.95" customHeight="1">
      <c r="B111" s="64" t="s">
        <v>166</v>
      </c>
      <c r="C111" s="12">
        <f>+july!F49</f>
        <v>16807000</v>
      </c>
      <c r="D111" s="12">
        <f>+july!G49</f>
        <v>4106278.46</v>
      </c>
      <c r="E111" s="12">
        <f t="shared" si="113"/>
        <v>12700721.539999999</v>
      </c>
      <c r="F111" s="13"/>
      <c r="G111" s="12">
        <f>+july!J49</f>
        <v>0</v>
      </c>
      <c r="H111" s="12">
        <f>+july!K49</f>
        <v>0</v>
      </c>
      <c r="I111" s="12">
        <f t="shared" si="114"/>
        <v>0</v>
      </c>
      <c r="J111" s="12"/>
      <c r="K111" s="12">
        <f>+july!N49</f>
        <v>0</v>
      </c>
      <c r="L111" s="12">
        <f>+july!O49</f>
        <v>0</v>
      </c>
      <c r="M111" s="12">
        <f t="shared" si="115"/>
        <v>0</v>
      </c>
      <c r="N111" s="13"/>
      <c r="O111" s="12">
        <f t="shared" si="116"/>
        <v>16807000</v>
      </c>
      <c r="P111" s="12">
        <f t="shared" si="117"/>
        <v>4106278.46</v>
      </c>
      <c r="Q111" s="14">
        <f t="shared" si="118"/>
        <v>12700721.539999999</v>
      </c>
      <c r="R111" s="17">
        <f t="shared" si="119"/>
        <v>0.24431953709763787</v>
      </c>
    </row>
    <row r="112" spans="2:18" ht="24.95" customHeight="1">
      <c r="B112" s="64" t="s">
        <v>167</v>
      </c>
      <c r="C112" s="12">
        <f>+july!F50</f>
        <v>25020000</v>
      </c>
      <c r="D112" s="12">
        <f>+july!G50</f>
        <v>16320580.91</v>
      </c>
      <c r="E112" s="12">
        <f t="shared" si="113"/>
        <v>8699419.0899999999</v>
      </c>
      <c r="F112" s="13"/>
      <c r="G112" s="12">
        <f>+july!J50</f>
        <v>0</v>
      </c>
      <c r="H112" s="12">
        <f>+july!K50</f>
        <v>0</v>
      </c>
      <c r="I112" s="12">
        <f t="shared" si="114"/>
        <v>0</v>
      </c>
      <c r="J112" s="12"/>
      <c r="K112" s="12">
        <f>+july!N50</f>
        <v>0</v>
      </c>
      <c r="L112" s="12">
        <f>+july!O50</f>
        <v>0</v>
      </c>
      <c r="M112" s="12">
        <f t="shared" si="115"/>
        <v>0</v>
      </c>
      <c r="N112" s="13"/>
      <c r="O112" s="12">
        <f t="shared" si="116"/>
        <v>25020000</v>
      </c>
      <c r="P112" s="12">
        <f t="shared" si="117"/>
        <v>16320580.91</v>
      </c>
      <c r="Q112" s="14">
        <f t="shared" si="118"/>
        <v>8699419.0899999999</v>
      </c>
      <c r="R112" s="17">
        <f t="shared" si="119"/>
        <v>0.65230139528377296</v>
      </c>
    </row>
    <row r="113" spans="2:18" ht="24.95" customHeight="1">
      <c r="B113" s="64" t="s">
        <v>168</v>
      </c>
      <c r="C113" s="12">
        <f>+july!F140</f>
        <v>50310000</v>
      </c>
      <c r="D113" s="12">
        <f>+july!G140</f>
        <v>19554925.93</v>
      </c>
      <c r="E113" s="12">
        <f t="shared" si="113"/>
        <v>30755074.07</v>
      </c>
      <c r="F113" s="13"/>
      <c r="G113" s="12">
        <f>+july!J140</f>
        <v>0</v>
      </c>
      <c r="H113" s="12">
        <f>+july!K140</f>
        <v>0</v>
      </c>
      <c r="I113" s="12">
        <f t="shared" si="114"/>
        <v>0</v>
      </c>
      <c r="J113" s="12"/>
      <c r="K113" s="12">
        <f>+july!N140</f>
        <v>0</v>
      </c>
      <c r="L113" s="12">
        <f>+july!O140</f>
        <v>0</v>
      </c>
      <c r="M113" s="12">
        <f t="shared" si="115"/>
        <v>0</v>
      </c>
      <c r="N113" s="13"/>
      <c r="O113" s="12">
        <f t="shared" si="116"/>
        <v>50310000</v>
      </c>
      <c r="P113" s="12">
        <f t="shared" si="117"/>
        <v>19554925.93</v>
      </c>
      <c r="Q113" s="14">
        <f t="shared" si="118"/>
        <v>30755074.07</v>
      </c>
      <c r="R113" s="17">
        <f t="shared" si="119"/>
        <v>0.38868864897634664</v>
      </c>
    </row>
    <row r="114" spans="2:18" ht="24.95" customHeight="1">
      <c r="B114" s="64" t="s">
        <v>169</v>
      </c>
      <c r="C114" s="12">
        <f>+july!F141</f>
        <v>24760000</v>
      </c>
      <c r="D114" s="12">
        <f>+july!G141</f>
        <v>14097488.939999999</v>
      </c>
      <c r="E114" s="12">
        <f t="shared" si="113"/>
        <v>10662511.060000001</v>
      </c>
      <c r="F114" s="13"/>
      <c r="G114" s="12">
        <f>+july!J141</f>
        <v>0</v>
      </c>
      <c r="H114" s="12">
        <f>+july!K141</f>
        <v>0</v>
      </c>
      <c r="I114" s="12">
        <f t="shared" si="114"/>
        <v>0</v>
      </c>
      <c r="J114" s="12"/>
      <c r="K114" s="12">
        <f>+july!N141</f>
        <v>0</v>
      </c>
      <c r="L114" s="12">
        <f>+july!O141</f>
        <v>0</v>
      </c>
      <c r="M114" s="12">
        <f t="shared" si="115"/>
        <v>0</v>
      </c>
      <c r="N114" s="13"/>
      <c r="O114" s="12">
        <f t="shared" si="116"/>
        <v>24760000</v>
      </c>
      <c r="P114" s="12">
        <f t="shared" si="117"/>
        <v>14097488.939999999</v>
      </c>
      <c r="Q114" s="14">
        <f t="shared" si="118"/>
        <v>10662511.060000001</v>
      </c>
      <c r="R114" s="17">
        <f t="shared" si="119"/>
        <v>0.56936546607431338</v>
      </c>
    </row>
    <row r="115" spans="2:18" ht="24.95" customHeight="1">
      <c r="B115" s="71" t="s">
        <v>188</v>
      </c>
      <c r="C115" s="12">
        <f>SUM(C106:C114)</f>
        <v>5576913021.8800001</v>
      </c>
      <c r="D115" s="12">
        <f>SUM(D106:D114)</f>
        <v>2124972477.4900002</v>
      </c>
      <c r="E115" s="12">
        <f t="shared" si="113"/>
        <v>3451940544.3899999</v>
      </c>
      <c r="F115" s="13"/>
      <c r="G115" s="12">
        <f>SUM(G106:G114)</f>
        <v>232341860.80000001</v>
      </c>
      <c r="H115" s="12">
        <f>SUM(H106:H114)</f>
        <v>127801334.13</v>
      </c>
      <c r="I115" s="12">
        <f t="shared" si="114"/>
        <v>104540526.67000002</v>
      </c>
      <c r="J115" s="12"/>
      <c r="K115" s="12">
        <f>SUM(K106:K114)</f>
        <v>85675907.38000001</v>
      </c>
      <c r="L115" s="12">
        <f>SUM(L106:L114)</f>
        <v>43100165.270000003</v>
      </c>
      <c r="M115" s="12">
        <f t="shared" si="115"/>
        <v>42575742.110000007</v>
      </c>
      <c r="N115" s="13"/>
      <c r="O115" s="12">
        <f t="shared" si="116"/>
        <v>5894930790.0600004</v>
      </c>
      <c r="P115" s="12">
        <f t="shared" si="117"/>
        <v>2295873976.8900003</v>
      </c>
      <c r="Q115" s="14">
        <f t="shared" si="118"/>
        <v>3599056813.1700001</v>
      </c>
      <c r="R115" s="17">
        <f t="shared" si="119"/>
        <v>0.38946580692029331</v>
      </c>
    </row>
    <row r="116" spans="2:18" ht="24.95" customHeight="1">
      <c r="B116" s="67"/>
      <c r="C116" s="12"/>
      <c r="D116" s="12"/>
      <c r="E116" s="12"/>
      <c r="F116" s="13"/>
      <c r="G116" s="12"/>
      <c r="H116" s="12"/>
      <c r="I116" s="12"/>
      <c r="J116" s="12"/>
      <c r="K116" s="12"/>
      <c r="L116" s="12"/>
      <c r="M116" s="12"/>
      <c r="N116" s="13"/>
      <c r="O116" s="12"/>
      <c r="P116" s="12"/>
      <c r="Q116" s="68"/>
      <c r="R116" s="17"/>
    </row>
    <row r="117" spans="2:18" ht="24.95" customHeight="1">
      <c r="B117" s="70" t="s">
        <v>158</v>
      </c>
      <c r="C117" s="12"/>
      <c r="D117" s="12"/>
      <c r="E117" s="12"/>
      <c r="F117" s="13"/>
      <c r="G117" s="12"/>
      <c r="H117" s="12"/>
      <c r="I117" s="12"/>
      <c r="J117" s="12"/>
      <c r="K117" s="12"/>
      <c r="L117" s="12"/>
      <c r="M117" s="12"/>
      <c r="N117" s="13"/>
      <c r="O117" s="12"/>
      <c r="P117" s="12"/>
      <c r="Q117" s="14"/>
      <c r="R117" s="17"/>
    </row>
    <row r="118" spans="2:18" ht="24.95" customHeight="1">
      <c r="B118" s="64" t="s">
        <v>14</v>
      </c>
      <c r="C118" s="12">
        <f>+august!F8</f>
        <v>2682942706</v>
      </c>
      <c r="D118" s="12">
        <f>+august!G8</f>
        <v>753499674.17999995</v>
      </c>
      <c r="E118" s="12">
        <f t="shared" ref="E118:E126" si="120">+C118-D118</f>
        <v>1929443031.8200002</v>
      </c>
      <c r="F118" s="13"/>
      <c r="G118" s="12">
        <f>+august!J8</f>
        <v>0</v>
      </c>
      <c r="H118" s="12">
        <f>+august!K8</f>
        <v>0</v>
      </c>
      <c r="I118" s="12">
        <f t="shared" ref="I118:I126" si="121">+G118-H118</f>
        <v>0</v>
      </c>
      <c r="J118" s="12"/>
      <c r="K118" s="12">
        <f>+august!N8</f>
        <v>982993</v>
      </c>
      <c r="L118" s="12">
        <f>+august!O8</f>
        <v>1084380.79</v>
      </c>
      <c r="M118" s="12">
        <f t="shared" ref="M118:M127" si="122">+K118-L118</f>
        <v>-101387.79000000004</v>
      </c>
      <c r="N118" s="13"/>
      <c r="O118" s="12">
        <f t="shared" ref="O118:O127" si="123">+C118+G118+K118</f>
        <v>2683925699</v>
      </c>
      <c r="P118" s="12">
        <f t="shared" ref="P118:P127" si="124">+D118+H118+L118</f>
        <v>754584054.96999991</v>
      </c>
      <c r="Q118" s="14">
        <f t="shared" ref="Q118:Q127" si="125">+O118-P118</f>
        <v>1929341644.0300002</v>
      </c>
      <c r="R118" s="17">
        <f t="shared" ref="R118:R127" si="126">+P118/O118</f>
        <v>0.28114938325272915</v>
      </c>
    </row>
    <row r="119" spans="2:18" ht="24.95" customHeight="1">
      <c r="B119" s="64" t="s">
        <v>172</v>
      </c>
      <c r="C119" s="12">
        <f>+SUM(august!F13:F17)+SUM(august!F35:F46)</f>
        <v>687893399.38</v>
      </c>
      <c r="D119" s="12">
        <f>+SUM(august!G13:G17)+SUM(august!G35:G46)</f>
        <v>488718410.46000004</v>
      </c>
      <c r="E119" s="12">
        <f t="shared" si="120"/>
        <v>199174988.91999996</v>
      </c>
      <c r="F119" s="13"/>
      <c r="G119" s="12">
        <f>+SUM(august!J13:J17)+SUM(august!J35:J46)</f>
        <v>12735026</v>
      </c>
      <c r="H119" s="12">
        <f>+SUM(august!K13:K17)+SUM(august!K35:K46)</f>
        <v>17507464.57</v>
      </c>
      <c r="I119" s="12">
        <f t="shared" si="121"/>
        <v>-4772438.57</v>
      </c>
      <c r="J119" s="12"/>
      <c r="K119" s="12">
        <f>+SUM(august!N13:N17)+SUM(august!N35:N46)</f>
        <v>7245277</v>
      </c>
      <c r="L119" s="12">
        <f>+SUM(august!O13:O17)+SUM(august!O35:O46)</f>
        <v>4058080.66</v>
      </c>
      <c r="M119" s="12">
        <f t="shared" si="122"/>
        <v>3187196.34</v>
      </c>
      <c r="N119" s="13"/>
      <c r="O119" s="12">
        <f t="shared" si="123"/>
        <v>707873702.38</v>
      </c>
      <c r="P119" s="12">
        <f t="shared" si="124"/>
        <v>510283955.69000006</v>
      </c>
      <c r="Q119" s="14">
        <f t="shared" si="125"/>
        <v>197589746.68999994</v>
      </c>
      <c r="R119" s="17">
        <f t="shared" si="126"/>
        <v>0.72086864362150016</v>
      </c>
    </row>
    <row r="120" spans="2:18" ht="24.95" customHeight="1">
      <c r="B120" s="64" t="s">
        <v>170</v>
      </c>
      <c r="C120" s="12">
        <f>+august!F53+SUM(august!F20:F32)</f>
        <v>863931193.35000002</v>
      </c>
      <c r="D120" s="12">
        <f>+august!G53+SUM(august!G20:G32)</f>
        <v>430572817.76999998</v>
      </c>
      <c r="E120" s="12">
        <f t="shared" si="120"/>
        <v>433358375.58000004</v>
      </c>
      <c r="F120" s="13"/>
      <c r="G120" s="12">
        <f>+august!J53+SUM(august!J20:J32)</f>
        <v>60411628</v>
      </c>
      <c r="H120" s="12">
        <f>+august!K53+SUM(august!K20:K32)</f>
        <v>42877331.700000003</v>
      </c>
      <c r="I120" s="12">
        <f t="shared" si="121"/>
        <v>17534296.299999997</v>
      </c>
      <c r="J120" s="12"/>
      <c r="K120" s="12">
        <f>+august!N53+SUM(august!N20:N32)</f>
        <v>103301729.59</v>
      </c>
      <c r="L120" s="12">
        <f>+august!O53+SUM(august!O20:O32)</f>
        <v>28471374.639999997</v>
      </c>
      <c r="M120" s="12">
        <f t="shared" si="122"/>
        <v>74830354.950000003</v>
      </c>
      <c r="N120" s="13"/>
      <c r="O120" s="12">
        <f t="shared" si="123"/>
        <v>1027644550.9400001</v>
      </c>
      <c r="P120" s="12">
        <f t="shared" si="124"/>
        <v>501921524.10999995</v>
      </c>
      <c r="Q120" s="14">
        <f t="shared" si="125"/>
        <v>525723026.8300001</v>
      </c>
      <c r="R120" s="17">
        <f t="shared" si="126"/>
        <v>0.48841938941911939</v>
      </c>
    </row>
    <row r="121" spans="2:18" ht="24.95" customHeight="1">
      <c r="B121" s="64" t="s">
        <v>164</v>
      </c>
      <c r="C121" s="12">
        <f>+august!F83</f>
        <v>273590224</v>
      </c>
      <c r="D121" s="12">
        <f>+august!G83</f>
        <v>211001600.69999996</v>
      </c>
      <c r="E121" s="12">
        <f t="shared" si="120"/>
        <v>62588623.300000042</v>
      </c>
      <c r="F121" s="13"/>
      <c r="G121" s="12">
        <f>+august!J83</f>
        <v>166846310</v>
      </c>
      <c r="H121" s="12">
        <f>+august!K83</f>
        <v>52501409.689999998</v>
      </c>
      <c r="I121" s="12">
        <f t="shared" si="121"/>
        <v>114344900.31</v>
      </c>
      <c r="J121" s="12"/>
      <c r="K121" s="12">
        <f>+august!N83</f>
        <v>6788696.5300000003</v>
      </c>
      <c r="L121" s="12">
        <f>+august!O83</f>
        <v>15008472.309999999</v>
      </c>
      <c r="M121" s="12">
        <f t="shared" si="122"/>
        <v>-8219775.7799999984</v>
      </c>
      <c r="N121" s="13"/>
      <c r="O121" s="12">
        <f t="shared" si="123"/>
        <v>447225230.52999997</v>
      </c>
      <c r="P121" s="12">
        <f t="shared" si="124"/>
        <v>278511482.69999993</v>
      </c>
      <c r="Q121" s="14">
        <f t="shared" si="125"/>
        <v>168713747.83000004</v>
      </c>
      <c r="R121" s="17">
        <f t="shared" si="126"/>
        <v>0.62275440580563868</v>
      </c>
    </row>
    <row r="122" spans="2:18" ht="24.95" customHeight="1">
      <c r="B122" s="64" t="s">
        <v>165</v>
      </c>
      <c r="C122" s="12">
        <f>august!F106</f>
        <v>399934802.61999995</v>
      </c>
      <c r="D122" s="12">
        <f>august!G106</f>
        <v>289254994.69999999</v>
      </c>
      <c r="E122" s="12">
        <f t="shared" si="120"/>
        <v>110679807.91999996</v>
      </c>
      <c r="F122" s="13"/>
      <c r="G122" s="12">
        <f>august!J106</f>
        <v>34141330</v>
      </c>
      <c r="H122" s="12">
        <f>august!K106</f>
        <v>16978996.469999999</v>
      </c>
      <c r="I122" s="12">
        <f t="shared" si="121"/>
        <v>17162333.530000001</v>
      </c>
      <c r="J122" s="12"/>
      <c r="K122" s="12">
        <f>august!N106</f>
        <v>29307553.489999998</v>
      </c>
      <c r="L122" s="12">
        <f>august!O106</f>
        <v>24345892.98</v>
      </c>
      <c r="M122" s="12">
        <f t="shared" si="122"/>
        <v>4961660.5099999979</v>
      </c>
      <c r="N122" s="13"/>
      <c r="O122" s="12">
        <f t="shared" si="123"/>
        <v>463383686.10999995</v>
      </c>
      <c r="P122" s="12">
        <f t="shared" si="124"/>
        <v>330579884.14999998</v>
      </c>
      <c r="Q122" s="14">
        <f t="shared" si="125"/>
        <v>132803801.95999998</v>
      </c>
      <c r="R122" s="17">
        <f t="shared" si="126"/>
        <v>0.71340423510620865</v>
      </c>
    </row>
    <row r="123" spans="2:18" ht="24.95" customHeight="1">
      <c r="B123" s="64" t="s">
        <v>166</v>
      </c>
      <c r="C123" s="12">
        <f>+august!F49</f>
        <v>11486000</v>
      </c>
      <c r="D123" s="12">
        <f>+august!G49</f>
        <v>10455245.6</v>
      </c>
      <c r="E123" s="12">
        <f t="shared" si="120"/>
        <v>1030754.4000000004</v>
      </c>
      <c r="F123" s="13"/>
      <c r="G123" s="12">
        <f>+august!J49</f>
        <v>0</v>
      </c>
      <c r="H123" s="12">
        <f>+august!K49</f>
        <v>0</v>
      </c>
      <c r="I123" s="12">
        <f t="shared" si="121"/>
        <v>0</v>
      </c>
      <c r="J123" s="12"/>
      <c r="K123" s="12">
        <f>+august!N49</f>
        <v>0</v>
      </c>
      <c r="L123" s="12">
        <f>+august!O49</f>
        <v>0</v>
      </c>
      <c r="M123" s="12">
        <f t="shared" si="122"/>
        <v>0</v>
      </c>
      <c r="N123" s="13"/>
      <c r="O123" s="12">
        <f t="shared" si="123"/>
        <v>11486000</v>
      </c>
      <c r="P123" s="12">
        <f t="shared" si="124"/>
        <v>10455245.6</v>
      </c>
      <c r="Q123" s="14">
        <f t="shared" si="125"/>
        <v>1030754.4000000004</v>
      </c>
      <c r="R123" s="17">
        <f t="shared" si="126"/>
        <v>0.91025993383249171</v>
      </c>
    </row>
    <row r="124" spans="2:18" ht="24.95" customHeight="1">
      <c r="B124" s="64" t="s">
        <v>167</v>
      </c>
      <c r="C124" s="12">
        <f>+august!F50</f>
        <v>23988000</v>
      </c>
      <c r="D124" s="12">
        <f>+august!G50</f>
        <v>26340225.960000001</v>
      </c>
      <c r="E124" s="12">
        <f t="shared" si="120"/>
        <v>-2352225.9600000009</v>
      </c>
      <c r="F124" s="13"/>
      <c r="G124" s="12">
        <f>+august!J50</f>
        <v>0</v>
      </c>
      <c r="H124" s="12">
        <f>+august!K50</f>
        <v>0</v>
      </c>
      <c r="I124" s="12">
        <f t="shared" si="121"/>
        <v>0</v>
      </c>
      <c r="J124" s="12"/>
      <c r="K124" s="12">
        <f>+august!N50</f>
        <v>0</v>
      </c>
      <c r="L124" s="12">
        <f>+august!O50</f>
        <v>0</v>
      </c>
      <c r="M124" s="12">
        <f t="shared" si="122"/>
        <v>0</v>
      </c>
      <c r="N124" s="13"/>
      <c r="O124" s="12">
        <f t="shared" si="123"/>
        <v>23988000</v>
      </c>
      <c r="P124" s="12">
        <f t="shared" si="124"/>
        <v>26340225.960000001</v>
      </c>
      <c r="Q124" s="14">
        <f t="shared" si="125"/>
        <v>-2352225.9600000009</v>
      </c>
      <c r="R124" s="17">
        <f t="shared" si="126"/>
        <v>1.0980584442221111</v>
      </c>
    </row>
    <row r="125" spans="2:18" ht="24.95" customHeight="1">
      <c r="B125" s="64" t="s">
        <v>168</v>
      </c>
      <c r="C125" s="12">
        <f>+august!F140</f>
        <v>37499000</v>
      </c>
      <c r="D125" s="12">
        <f>+august!G140</f>
        <v>17905561.199999999</v>
      </c>
      <c r="E125" s="12">
        <f t="shared" si="120"/>
        <v>19593438.800000001</v>
      </c>
      <c r="F125" s="13"/>
      <c r="G125" s="12">
        <f>+august!J140</f>
        <v>0</v>
      </c>
      <c r="H125" s="12">
        <f>+august!K140</f>
        <v>0</v>
      </c>
      <c r="I125" s="12">
        <f t="shared" si="121"/>
        <v>0</v>
      </c>
      <c r="J125" s="12"/>
      <c r="K125" s="12">
        <f>+august!N140</f>
        <v>0</v>
      </c>
      <c r="L125" s="12">
        <f>+august!O140</f>
        <v>0</v>
      </c>
      <c r="M125" s="12">
        <f t="shared" si="122"/>
        <v>0</v>
      </c>
      <c r="N125" s="13"/>
      <c r="O125" s="12">
        <f t="shared" si="123"/>
        <v>37499000</v>
      </c>
      <c r="P125" s="12">
        <f t="shared" si="124"/>
        <v>17905561.199999999</v>
      </c>
      <c r="Q125" s="14">
        <f t="shared" si="125"/>
        <v>19593438.800000001</v>
      </c>
      <c r="R125" s="17">
        <f t="shared" si="126"/>
        <v>0.47749436518307153</v>
      </c>
    </row>
    <row r="126" spans="2:18" ht="24.95" customHeight="1">
      <c r="B126" s="64" t="s">
        <v>169</v>
      </c>
      <c r="C126" s="12">
        <f>+august!F141</f>
        <v>24501000</v>
      </c>
      <c r="D126" s="12">
        <f>+august!G141</f>
        <v>19439840.09</v>
      </c>
      <c r="E126" s="12">
        <f t="shared" si="120"/>
        <v>5061159.91</v>
      </c>
      <c r="F126" s="13"/>
      <c r="G126" s="12">
        <f>+august!J141</f>
        <v>0</v>
      </c>
      <c r="H126" s="12">
        <f>+august!K141</f>
        <v>0</v>
      </c>
      <c r="I126" s="12">
        <f t="shared" si="121"/>
        <v>0</v>
      </c>
      <c r="J126" s="12"/>
      <c r="K126" s="12">
        <f>+august!N141</f>
        <v>0</v>
      </c>
      <c r="L126" s="12">
        <f>+august!O141</f>
        <v>0</v>
      </c>
      <c r="M126" s="12">
        <f t="shared" si="122"/>
        <v>0</v>
      </c>
      <c r="N126" s="13"/>
      <c r="O126" s="12">
        <f t="shared" si="123"/>
        <v>24501000</v>
      </c>
      <c r="P126" s="12">
        <f t="shared" si="124"/>
        <v>19439840.09</v>
      </c>
      <c r="Q126" s="14">
        <f t="shared" si="125"/>
        <v>5061159.91</v>
      </c>
      <c r="R126" s="17">
        <f t="shared" si="126"/>
        <v>0.79343047589894289</v>
      </c>
    </row>
    <row r="127" spans="2:18" ht="24.95" customHeight="1">
      <c r="B127" s="71" t="s">
        <v>189</v>
      </c>
      <c r="C127" s="12">
        <f>SUM(C118:C126)</f>
        <v>5005766325.3499994</v>
      </c>
      <c r="D127" s="12">
        <f>SUM(D118:D126)</f>
        <v>2247188370.6599998</v>
      </c>
      <c r="E127" s="12">
        <f t="shared" ref="E127" si="127">+C127-D127</f>
        <v>2758577954.6899996</v>
      </c>
      <c r="F127" s="13"/>
      <c r="G127" s="12">
        <f>SUM(G118:G126)</f>
        <v>274134294</v>
      </c>
      <c r="H127" s="12">
        <f>SUM(H118:H126)</f>
        <v>129865202.43000001</v>
      </c>
      <c r="I127" s="12">
        <f t="shared" ref="I127" si="128">+G127-H127</f>
        <v>144269091.56999999</v>
      </c>
      <c r="J127" s="12"/>
      <c r="K127" s="12">
        <f>SUM(K118:K126)</f>
        <v>147626249.61000001</v>
      </c>
      <c r="L127" s="12">
        <f>SUM(L118:L126)</f>
        <v>72968201.379999995</v>
      </c>
      <c r="M127" s="12">
        <f t="shared" si="122"/>
        <v>74658048.230000019</v>
      </c>
      <c r="N127" s="13"/>
      <c r="O127" s="12">
        <f t="shared" si="123"/>
        <v>5427526868.9599991</v>
      </c>
      <c r="P127" s="12">
        <f t="shared" si="124"/>
        <v>2450021774.4699998</v>
      </c>
      <c r="Q127" s="14">
        <f t="shared" si="125"/>
        <v>2977505094.4899993</v>
      </c>
      <c r="R127" s="17">
        <f t="shared" si="126"/>
        <v>0.45140665972225086</v>
      </c>
    </row>
    <row r="128" spans="2:18" ht="24.95" customHeight="1">
      <c r="B128" s="71"/>
      <c r="C128" s="12"/>
      <c r="D128" s="12"/>
      <c r="E128" s="12"/>
      <c r="F128" s="13"/>
      <c r="G128" s="12"/>
      <c r="H128" s="12"/>
      <c r="I128" s="12"/>
      <c r="J128" s="12"/>
      <c r="K128" s="12"/>
      <c r="L128" s="12"/>
      <c r="M128" s="12"/>
      <c r="N128" s="13"/>
      <c r="O128" s="12"/>
      <c r="P128" s="12"/>
      <c r="Q128" s="14"/>
      <c r="R128" s="17"/>
    </row>
    <row r="129" spans="2:18" ht="24.95" customHeight="1">
      <c r="B129" s="70" t="s">
        <v>159</v>
      </c>
      <c r="C129" s="12"/>
      <c r="D129" s="12"/>
      <c r="E129" s="12"/>
      <c r="F129" s="13"/>
      <c r="G129" s="12"/>
      <c r="H129" s="12"/>
      <c r="I129" s="12"/>
      <c r="J129" s="12"/>
      <c r="K129" s="12"/>
      <c r="L129" s="12"/>
      <c r="M129" s="12"/>
      <c r="N129" s="13"/>
      <c r="O129" s="12"/>
      <c r="P129" s="12"/>
      <c r="Q129" s="14"/>
      <c r="R129" s="17"/>
    </row>
    <row r="130" spans="2:18" ht="24.95" customHeight="1">
      <c r="B130" s="64" t="s">
        <v>14</v>
      </c>
      <c r="C130" s="12">
        <f>+september!F8</f>
        <v>1375684279.99</v>
      </c>
      <c r="D130" s="12">
        <f>+september!G8</f>
        <v>2362981795.8899999</v>
      </c>
      <c r="E130" s="12">
        <f t="shared" ref="E130:E138" si="129">+C130-D130</f>
        <v>-987297515.89999986</v>
      </c>
      <c r="F130" s="13"/>
      <c r="G130" s="12">
        <f>+september!J8</f>
        <v>0</v>
      </c>
      <c r="H130" s="12">
        <f>+september!K8</f>
        <v>0</v>
      </c>
      <c r="I130" s="12">
        <f t="shared" ref="I130:I138" si="130">+G130-H130</f>
        <v>0</v>
      </c>
      <c r="J130" s="12"/>
      <c r="K130" s="12">
        <f>+september!N8</f>
        <v>3145376.58</v>
      </c>
      <c r="L130" s="12">
        <f>+september!O8</f>
        <v>2497817.46</v>
      </c>
      <c r="M130" s="12">
        <f t="shared" ref="M130:M139" si="131">+K130-L130</f>
        <v>647559.12000000011</v>
      </c>
      <c r="N130" s="13"/>
      <c r="O130" s="12">
        <f t="shared" ref="O130:O139" si="132">+C130+G130+K130</f>
        <v>1378829656.5699999</v>
      </c>
      <c r="P130" s="12">
        <f t="shared" ref="P130:P139" si="133">+D130+H130+L130</f>
        <v>2365479613.3499999</v>
      </c>
      <c r="Q130" s="14">
        <f t="shared" ref="Q130:Q139" si="134">+O130-P130</f>
        <v>-986649956.77999997</v>
      </c>
      <c r="R130" s="17">
        <f t="shared" ref="R130:R139" si="135">+P130/O130</f>
        <v>1.715570594292559</v>
      </c>
    </row>
    <row r="131" spans="2:18" ht="24.95" customHeight="1">
      <c r="B131" s="64" t="s">
        <v>172</v>
      </c>
      <c r="C131" s="12">
        <f>+SUM(september!F13:F17)+SUM(september!F35:F46)</f>
        <v>670479394.47000003</v>
      </c>
      <c r="D131" s="12">
        <f>+SUM(september!G13:G17)+SUM(september!G35:G46)</f>
        <v>677752868.48999989</v>
      </c>
      <c r="E131" s="12">
        <f t="shared" si="129"/>
        <v>-7273474.0199998617</v>
      </c>
      <c r="F131" s="13"/>
      <c r="G131" s="12">
        <f>+SUM(september!J13:J17)+SUM(september!J35:J46)</f>
        <v>187902943.55000001</v>
      </c>
      <c r="H131" s="12">
        <f>+SUM(september!K13:K17)+SUM(september!K35:K46)</f>
        <v>179199841.32999998</v>
      </c>
      <c r="I131" s="12">
        <f t="shared" si="130"/>
        <v>8703102.2200000286</v>
      </c>
      <c r="J131" s="12"/>
      <c r="K131" s="12">
        <f>+SUM(september!N13:N17)+SUM(september!N35:N46)</f>
        <v>6028138</v>
      </c>
      <c r="L131" s="12">
        <f>+SUM(september!O13:O17)+SUM(september!O35:O46)</f>
        <v>20163870.289999999</v>
      </c>
      <c r="M131" s="12">
        <f t="shared" si="131"/>
        <v>-14135732.289999999</v>
      </c>
      <c r="N131" s="13"/>
      <c r="O131" s="12">
        <f t="shared" si="132"/>
        <v>864410476.01999998</v>
      </c>
      <c r="P131" s="12">
        <f t="shared" si="133"/>
        <v>877116580.1099999</v>
      </c>
      <c r="Q131" s="14">
        <f t="shared" si="134"/>
        <v>-12706104.089999914</v>
      </c>
      <c r="R131" s="17">
        <f t="shared" si="135"/>
        <v>1.0146991556008236</v>
      </c>
    </row>
    <row r="132" spans="2:18" ht="24.95" customHeight="1">
      <c r="B132" s="64" t="s">
        <v>170</v>
      </c>
      <c r="C132" s="12">
        <f>+september!F53+SUM(september!F20:F32)</f>
        <v>761367122.28999996</v>
      </c>
      <c r="D132" s="12">
        <f>+september!G53+SUM(september!G20:G32)</f>
        <v>1022980817.9485711</v>
      </c>
      <c r="E132" s="12">
        <f t="shared" si="129"/>
        <v>-261613695.65857112</v>
      </c>
      <c r="F132" s="13"/>
      <c r="G132" s="12">
        <f>+september!J53+SUM(september!J20:J32)</f>
        <v>70958426</v>
      </c>
      <c r="H132" s="12">
        <f>+september!K53+SUM(september!K20:K32)</f>
        <v>115291224.88999999</v>
      </c>
      <c r="I132" s="12">
        <f t="shared" si="130"/>
        <v>-44332798.889999986</v>
      </c>
      <c r="J132" s="12"/>
      <c r="K132" s="12">
        <f>+september!N53+SUM(september!N20:N32)</f>
        <v>66648425.710000001</v>
      </c>
      <c r="L132" s="12">
        <f>+september!O53+SUM(september!O20:O32)</f>
        <v>65648011.200000003</v>
      </c>
      <c r="M132" s="12">
        <f t="shared" si="131"/>
        <v>1000414.5099999979</v>
      </c>
      <c r="N132" s="13"/>
      <c r="O132" s="12">
        <f t="shared" si="132"/>
        <v>898973974</v>
      </c>
      <c r="P132" s="12">
        <f t="shared" si="133"/>
        <v>1203920054.0385711</v>
      </c>
      <c r="Q132" s="14">
        <f t="shared" si="134"/>
        <v>-304946080.03857112</v>
      </c>
      <c r="R132" s="17">
        <f t="shared" si="135"/>
        <v>1.3392156935108013</v>
      </c>
    </row>
    <row r="133" spans="2:18" ht="24.95" customHeight="1">
      <c r="B133" s="64" t="s">
        <v>164</v>
      </c>
      <c r="C133" s="12">
        <f>+september!F83</f>
        <v>316096993</v>
      </c>
      <c r="D133" s="12">
        <f>+september!G83</f>
        <v>406839906.98000008</v>
      </c>
      <c r="E133" s="12">
        <f t="shared" si="129"/>
        <v>-90742913.980000079</v>
      </c>
      <c r="F133" s="13"/>
      <c r="G133" s="12">
        <f>+september!J83</f>
        <v>74778000</v>
      </c>
      <c r="H133" s="12">
        <f>+september!K83</f>
        <v>189628818.25999999</v>
      </c>
      <c r="I133" s="12">
        <f t="shared" si="130"/>
        <v>-114850818.25999999</v>
      </c>
      <c r="J133" s="12"/>
      <c r="K133" s="12">
        <f>+september!N83</f>
        <v>198485.93</v>
      </c>
      <c r="L133" s="12">
        <f>+september!O83</f>
        <v>8498728.3300000001</v>
      </c>
      <c r="M133" s="12">
        <f t="shared" si="131"/>
        <v>-8300242.4000000004</v>
      </c>
      <c r="N133" s="13"/>
      <c r="O133" s="12">
        <f t="shared" si="132"/>
        <v>391073478.93000001</v>
      </c>
      <c r="P133" s="12">
        <f t="shared" si="133"/>
        <v>604967453.57000005</v>
      </c>
      <c r="Q133" s="14">
        <f t="shared" si="134"/>
        <v>-213893974.64000005</v>
      </c>
      <c r="R133" s="17">
        <f t="shared" si="135"/>
        <v>1.5469406292270866</v>
      </c>
    </row>
    <row r="134" spans="2:18" ht="24.95" customHeight="1">
      <c r="B134" s="64" t="s">
        <v>165</v>
      </c>
      <c r="C134" s="12">
        <f>september!F106</f>
        <v>441415386.73000002</v>
      </c>
      <c r="D134" s="12">
        <f>september!G106</f>
        <v>767850233.61000001</v>
      </c>
      <c r="E134" s="12">
        <f t="shared" si="129"/>
        <v>-326434846.88</v>
      </c>
      <c r="F134" s="13"/>
      <c r="G134" s="12">
        <f>september!J106</f>
        <v>73672500</v>
      </c>
      <c r="H134" s="12">
        <f>september!K106</f>
        <v>93102036.339999989</v>
      </c>
      <c r="I134" s="12">
        <f t="shared" si="130"/>
        <v>-19429536.339999989</v>
      </c>
      <c r="J134" s="12"/>
      <c r="K134" s="12">
        <f>september!N106</f>
        <v>23504294.990000002</v>
      </c>
      <c r="L134" s="12">
        <f>september!O106</f>
        <v>33593676.509999998</v>
      </c>
      <c r="M134" s="12">
        <f t="shared" si="131"/>
        <v>-10089381.519999996</v>
      </c>
      <c r="N134" s="13"/>
      <c r="O134" s="12">
        <f t="shared" si="132"/>
        <v>538592181.72000003</v>
      </c>
      <c r="P134" s="12">
        <f t="shared" si="133"/>
        <v>894545946.46000004</v>
      </c>
      <c r="Q134" s="14">
        <f t="shared" si="134"/>
        <v>-355953764.74000001</v>
      </c>
      <c r="R134" s="17">
        <f t="shared" si="135"/>
        <v>1.6608966428054299</v>
      </c>
    </row>
    <row r="135" spans="2:18" ht="24.95" customHeight="1">
      <c r="B135" s="64" t="s">
        <v>166</v>
      </c>
      <c r="C135" s="12">
        <f>+september!F49</f>
        <v>11306000</v>
      </c>
      <c r="D135" s="12">
        <f>+september!G49</f>
        <v>25037300.859999999</v>
      </c>
      <c r="E135" s="12">
        <f t="shared" si="129"/>
        <v>-13731300.859999999</v>
      </c>
      <c r="F135" s="13"/>
      <c r="G135" s="12">
        <f>+september!J49</f>
        <v>4230000</v>
      </c>
      <c r="H135" s="12">
        <f>+september!K49</f>
        <v>4230000</v>
      </c>
      <c r="I135" s="12">
        <f t="shared" si="130"/>
        <v>0</v>
      </c>
      <c r="J135" s="12"/>
      <c r="K135" s="12">
        <f>+september!N49</f>
        <v>0</v>
      </c>
      <c r="L135" s="12">
        <f>+september!O49</f>
        <v>0</v>
      </c>
      <c r="M135" s="12">
        <f t="shared" si="131"/>
        <v>0</v>
      </c>
      <c r="N135" s="13"/>
      <c r="O135" s="12">
        <f t="shared" si="132"/>
        <v>15536000</v>
      </c>
      <c r="P135" s="12">
        <f t="shared" si="133"/>
        <v>29267300.859999999</v>
      </c>
      <c r="Q135" s="14">
        <f t="shared" si="134"/>
        <v>-13731300.859999999</v>
      </c>
      <c r="R135" s="17">
        <f t="shared" si="135"/>
        <v>1.8838375939752832</v>
      </c>
    </row>
    <row r="136" spans="2:18" ht="24.95" customHeight="1">
      <c r="B136" s="64" t="s">
        <v>167</v>
      </c>
      <c r="C136" s="12">
        <f>+september!F50</f>
        <v>32914000</v>
      </c>
      <c r="D136" s="12">
        <f>+september!G50</f>
        <v>26297274.960000001</v>
      </c>
      <c r="E136" s="12">
        <f t="shared" si="129"/>
        <v>6616725.0399999991</v>
      </c>
      <c r="F136" s="13"/>
      <c r="G136" s="12">
        <f>+september!J50</f>
        <v>2325000</v>
      </c>
      <c r="H136" s="12">
        <f>+september!K50</f>
        <v>2240000</v>
      </c>
      <c r="I136" s="12">
        <f t="shared" si="130"/>
        <v>85000</v>
      </c>
      <c r="J136" s="12"/>
      <c r="K136" s="12">
        <f>+september!N50</f>
        <v>0</v>
      </c>
      <c r="L136" s="12">
        <f>+september!O50</f>
        <v>0</v>
      </c>
      <c r="M136" s="12">
        <f t="shared" si="131"/>
        <v>0</v>
      </c>
      <c r="N136" s="13"/>
      <c r="O136" s="12">
        <f t="shared" si="132"/>
        <v>35239000</v>
      </c>
      <c r="P136" s="12">
        <f t="shared" si="133"/>
        <v>28537274.960000001</v>
      </c>
      <c r="Q136" s="14">
        <f t="shared" si="134"/>
        <v>6701725.0399999991</v>
      </c>
      <c r="R136" s="17">
        <f t="shared" si="135"/>
        <v>0.80982079400664042</v>
      </c>
    </row>
    <row r="137" spans="2:18" ht="24.95" customHeight="1">
      <c r="B137" s="64" t="s">
        <v>168</v>
      </c>
      <c r="C137" s="12">
        <f>+september!F140</f>
        <v>42572000</v>
      </c>
      <c r="D137" s="12">
        <f>+september!G140</f>
        <v>21061814.280000001</v>
      </c>
      <c r="E137" s="12">
        <f t="shared" si="129"/>
        <v>21510185.719999999</v>
      </c>
      <c r="F137" s="13"/>
      <c r="G137" s="12">
        <f>+september!J140</f>
        <v>0</v>
      </c>
      <c r="H137" s="12">
        <f>+september!K140</f>
        <v>0</v>
      </c>
      <c r="I137" s="12">
        <f t="shared" si="130"/>
        <v>0</v>
      </c>
      <c r="J137" s="12"/>
      <c r="K137" s="12">
        <f>+september!N140</f>
        <v>0</v>
      </c>
      <c r="L137" s="12">
        <f>+september!O140</f>
        <v>0</v>
      </c>
      <c r="M137" s="12">
        <f t="shared" si="131"/>
        <v>0</v>
      </c>
      <c r="N137" s="13"/>
      <c r="O137" s="12">
        <f t="shared" si="132"/>
        <v>42572000</v>
      </c>
      <c r="P137" s="12">
        <f t="shared" si="133"/>
        <v>21061814.280000001</v>
      </c>
      <c r="Q137" s="14">
        <f t="shared" si="134"/>
        <v>21510185.719999999</v>
      </c>
      <c r="R137" s="17">
        <f t="shared" si="135"/>
        <v>0.49473396316827967</v>
      </c>
    </row>
    <row r="138" spans="2:18" ht="24.95" customHeight="1">
      <c r="B138" s="64" t="s">
        <v>169</v>
      </c>
      <c r="C138" s="12">
        <f>+september!F141</f>
        <v>26102500</v>
      </c>
      <c r="D138" s="12">
        <f>+september!G141</f>
        <v>25180789.510000002</v>
      </c>
      <c r="E138" s="12">
        <f t="shared" si="129"/>
        <v>921710.48999999836</v>
      </c>
      <c r="F138" s="13"/>
      <c r="G138" s="12">
        <f>+september!J141</f>
        <v>0</v>
      </c>
      <c r="H138" s="12">
        <f>+september!K141</f>
        <v>0</v>
      </c>
      <c r="I138" s="12">
        <f t="shared" si="130"/>
        <v>0</v>
      </c>
      <c r="J138" s="12"/>
      <c r="K138" s="12">
        <f>+september!N141</f>
        <v>0</v>
      </c>
      <c r="L138" s="12">
        <f>+september!O141</f>
        <v>0</v>
      </c>
      <c r="M138" s="12">
        <f t="shared" si="131"/>
        <v>0</v>
      </c>
      <c r="N138" s="13"/>
      <c r="O138" s="12">
        <f t="shared" si="132"/>
        <v>26102500</v>
      </c>
      <c r="P138" s="12">
        <f t="shared" si="133"/>
        <v>25180789.510000002</v>
      </c>
      <c r="Q138" s="14">
        <f t="shared" si="134"/>
        <v>921710.48999999836</v>
      </c>
      <c r="R138" s="17">
        <f t="shared" si="135"/>
        <v>0.96468880413753477</v>
      </c>
    </row>
    <row r="139" spans="2:18" ht="24.95" customHeight="1">
      <c r="B139" s="71" t="s">
        <v>190</v>
      </c>
      <c r="C139" s="12">
        <f>SUM(C130:C138)</f>
        <v>3677937676.48</v>
      </c>
      <c r="D139" s="12">
        <f>SUM(D130:D138)</f>
        <v>5335982802.5285702</v>
      </c>
      <c r="E139" s="12">
        <f t="shared" ref="E139" si="136">+C139-D139</f>
        <v>-1658045126.0485702</v>
      </c>
      <c r="F139" s="13"/>
      <c r="G139" s="12">
        <f>SUM(G130:G138)</f>
        <v>413866869.55000001</v>
      </c>
      <c r="H139" s="12">
        <f>SUM(H130:H138)</f>
        <v>583691920.81999993</v>
      </c>
      <c r="I139" s="12">
        <f t="shared" ref="I139" si="137">+G139-H139</f>
        <v>-169825051.26999992</v>
      </c>
      <c r="J139" s="12"/>
      <c r="K139" s="12">
        <f>SUM(K130:K138)</f>
        <v>99524721.210000008</v>
      </c>
      <c r="L139" s="12">
        <f>SUM(L130:L138)</f>
        <v>130402103.78999999</v>
      </c>
      <c r="M139" s="12">
        <f t="shared" si="131"/>
        <v>-30877382.579999983</v>
      </c>
      <c r="N139" s="13"/>
      <c r="O139" s="12">
        <f t="shared" si="132"/>
        <v>4191329267.2400002</v>
      </c>
      <c r="P139" s="12">
        <f t="shared" si="133"/>
        <v>6050076827.1385698</v>
      </c>
      <c r="Q139" s="14">
        <f t="shared" si="134"/>
        <v>-1858747559.8985696</v>
      </c>
      <c r="R139" s="17">
        <f t="shared" si="135"/>
        <v>1.4434744782345768</v>
      </c>
    </row>
    <row r="140" spans="2:18" ht="24.95" customHeight="1">
      <c r="B140" s="71"/>
      <c r="C140" s="12"/>
      <c r="D140" s="12"/>
      <c r="E140" s="12"/>
      <c r="F140" s="13"/>
      <c r="G140" s="12"/>
      <c r="H140" s="12"/>
      <c r="I140" s="12"/>
      <c r="J140" s="12"/>
      <c r="K140" s="12"/>
      <c r="L140" s="12"/>
      <c r="M140" s="12"/>
      <c r="N140" s="13"/>
      <c r="O140" s="12"/>
      <c r="P140" s="12"/>
      <c r="Q140" s="14"/>
      <c r="R140" s="17"/>
    </row>
    <row r="141" spans="2:18" ht="24.95" customHeight="1">
      <c r="B141" s="73" t="s">
        <v>191</v>
      </c>
      <c r="C141" s="12"/>
      <c r="D141" s="12"/>
      <c r="E141" s="12"/>
      <c r="F141" s="13"/>
      <c r="G141" s="12"/>
      <c r="H141" s="12"/>
      <c r="I141" s="12"/>
      <c r="J141" s="12"/>
      <c r="K141" s="12"/>
      <c r="L141" s="12"/>
      <c r="M141" s="12"/>
      <c r="N141" s="13"/>
      <c r="O141" s="12"/>
      <c r="P141" s="12"/>
      <c r="Q141" s="14"/>
      <c r="R141" s="17"/>
    </row>
    <row r="142" spans="2:18" ht="24.95" customHeight="1">
      <c r="B142" s="64" t="s">
        <v>14</v>
      </c>
      <c r="C142" s="12">
        <f>+C106+C118+C130</f>
        <v>6546403515.1899996</v>
      </c>
      <c r="D142" s="12">
        <f>+D106+D118+D130</f>
        <v>3758410485.0599999</v>
      </c>
      <c r="E142" s="12">
        <f t="shared" ref="E142:E151" si="138">+C142-D142</f>
        <v>2787993030.1299996</v>
      </c>
      <c r="F142" s="13"/>
      <c r="G142" s="12">
        <f>+G106+G118+G130</f>
        <v>0</v>
      </c>
      <c r="H142" s="12">
        <f>+H106+H118+H130</f>
        <v>0</v>
      </c>
      <c r="I142" s="12">
        <f t="shared" ref="I142:I151" si="139">+G142-H142</f>
        <v>0</v>
      </c>
      <c r="J142" s="12"/>
      <c r="K142" s="12">
        <f>+K106+K118+K130</f>
        <v>4248742.58</v>
      </c>
      <c r="L142" s="12">
        <f>+L106+L118+L130</f>
        <v>4111085.4</v>
      </c>
      <c r="M142" s="12">
        <f t="shared" ref="M142:M151" si="140">+K142-L142</f>
        <v>137657.18000000017</v>
      </c>
      <c r="N142" s="13"/>
      <c r="O142" s="12">
        <f t="shared" ref="O142:O151" si="141">+C142+G142+K142</f>
        <v>6550652257.7699995</v>
      </c>
      <c r="P142" s="12">
        <f t="shared" ref="P142:P151" si="142">+D142+H142+L142</f>
        <v>3762521570.46</v>
      </c>
      <c r="Q142" s="14">
        <f t="shared" ref="Q142:Q151" si="143">+O142-P142</f>
        <v>2788130687.3099995</v>
      </c>
      <c r="R142" s="17">
        <f t="shared" ref="R142:R151" si="144">+P142/O142</f>
        <v>0.57437357722616367</v>
      </c>
    </row>
    <row r="143" spans="2:18" ht="24.95" customHeight="1">
      <c r="B143" s="64" t="s">
        <v>172</v>
      </c>
      <c r="C143" s="12">
        <f t="shared" ref="C143:D150" si="145">+C107+C119+C131</f>
        <v>2058921457.23</v>
      </c>
      <c r="D143" s="12">
        <f t="shared" si="145"/>
        <v>1591300189.3200002</v>
      </c>
      <c r="E143" s="12">
        <f t="shared" si="138"/>
        <v>467621267.90999985</v>
      </c>
      <c r="F143" s="13"/>
      <c r="G143" s="12">
        <f t="shared" ref="G143:H143" si="146">+G107+G119+G131</f>
        <v>226474981.09</v>
      </c>
      <c r="H143" s="12">
        <f t="shared" si="146"/>
        <v>217771602.36999997</v>
      </c>
      <c r="I143" s="12">
        <f t="shared" si="139"/>
        <v>8703378.7200000286</v>
      </c>
      <c r="J143" s="12"/>
      <c r="K143" s="12">
        <f t="shared" ref="K143:L143" si="147">+K107+K119+K131</f>
        <v>18923711.890000001</v>
      </c>
      <c r="L143" s="12">
        <f t="shared" si="147"/>
        <v>29054488.759999998</v>
      </c>
      <c r="M143" s="12">
        <f t="shared" si="140"/>
        <v>-10130776.869999997</v>
      </c>
      <c r="N143" s="13"/>
      <c r="O143" s="12">
        <f t="shared" si="141"/>
        <v>2304320150.21</v>
      </c>
      <c r="P143" s="12">
        <f t="shared" si="142"/>
        <v>1838126280.45</v>
      </c>
      <c r="Q143" s="14">
        <f t="shared" si="143"/>
        <v>466193869.75999999</v>
      </c>
      <c r="R143" s="17">
        <f t="shared" si="144"/>
        <v>0.79768702290889826</v>
      </c>
    </row>
    <row r="144" spans="2:18" ht="24.95" customHeight="1">
      <c r="B144" s="64" t="s">
        <v>170</v>
      </c>
      <c r="C144" s="12">
        <f t="shared" si="145"/>
        <v>2773527677.9400001</v>
      </c>
      <c r="D144" s="12">
        <f t="shared" si="145"/>
        <v>2012566976.3585711</v>
      </c>
      <c r="E144" s="12">
        <f t="shared" si="138"/>
        <v>760960701.581429</v>
      </c>
      <c r="F144" s="13"/>
      <c r="G144" s="12">
        <f t="shared" ref="G144:H144" si="148">+G108+G120+G132</f>
        <v>189923373.25999999</v>
      </c>
      <c r="H144" s="12">
        <f t="shared" si="148"/>
        <v>180961224.39999998</v>
      </c>
      <c r="I144" s="12">
        <f t="shared" si="139"/>
        <v>8962148.8600000143</v>
      </c>
      <c r="J144" s="12"/>
      <c r="K144" s="12">
        <f t="shared" ref="K144:L144" si="149">+K108+K120+K132</f>
        <v>235789554.00000003</v>
      </c>
      <c r="L144" s="12">
        <f t="shared" si="149"/>
        <v>118285309.38</v>
      </c>
      <c r="M144" s="12">
        <f t="shared" si="140"/>
        <v>117504244.62000003</v>
      </c>
      <c r="N144" s="13"/>
      <c r="O144" s="12">
        <f t="shared" si="141"/>
        <v>3199240605.1999998</v>
      </c>
      <c r="P144" s="12">
        <f t="shared" si="142"/>
        <v>2311813510.1385713</v>
      </c>
      <c r="Q144" s="14">
        <f t="shared" si="143"/>
        <v>887427095.06142855</v>
      </c>
      <c r="R144" s="17">
        <f t="shared" si="144"/>
        <v>0.72261320589047995</v>
      </c>
    </row>
    <row r="145" spans="2:18" ht="24.95" customHeight="1">
      <c r="B145" s="64" t="s">
        <v>164</v>
      </c>
      <c r="C145" s="12">
        <f t="shared" si="145"/>
        <v>882172693</v>
      </c>
      <c r="D145" s="12">
        <f t="shared" si="145"/>
        <v>809393624.20000005</v>
      </c>
      <c r="E145" s="12">
        <f t="shared" si="138"/>
        <v>72779068.799999952</v>
      </c>
      <c r="F145" s="13"/>
      <c r="G145" s="12">
        <f t="shared" ref="G145:H145" si="150">+G109+G121+G133</f>
        <v>359275840</v>
      </c>
      <c r="H145" s="12">
        <f t="shared" si="150"/>
        <v>311411194.57999998</v>
      </c>
      <c r="I145" s="12">
        <f t="shared" si="139"/>
        <v>47864645.420000017</v>
      </c>
      <c r="J145" s="12"/>
      <c r="K145" s="12">
        <f t="shared" ref="K145:L145" si="151">+K109+K121+K133</f>
        <v>8009228.25</v>
      </c>
      <c r="L145" s="12">
        <f t="shared" si="151"/>
        <v>29675144.799999997</v>
      </c>
      <c r="M145" s="12">
        <f t="shared" si="140"/>
        <v>-21665916.549999997</v>
      </c>
      <c r="N145" s="13"/>
      <c r="O145" s="12">
        <f t="shared" si="141"/>
        <v>1249457761.25</v>
      </c>
      <c r="P145" s="12">
        <f t="shared" si="142"/>
        <v>1150479963.5799999</v>
      </c>
      <c r="Q145" s="14">
        <f t="shared" si="143"/>
        <v>98977797.670000076</v>
      </c>
      <c r="R145" s="17">
        <f t="shared" si="144"/>
        <v>0.92078339841518186</v>
      </c>
    </row>
    <row r="146" spans="2:18" ht="24.95" customHeight="1">
      <c r="B146" s="64" t="s">
        <v>165</v>
      </c>
      <c r="C146" s="12">
        <f t="shared" si="145"/>
        <v>1672326180.3499999</v>
      </c>
      <c r="D146" s="12">
        <f t="shared" si="145"/>
        <v>1310675049.04</v>
      </c>
      <c r="E146" s="12">
        <f t="shared" si="138"/>
        <v>361651131.30999994</v>
      </c>
      <c r="F146" s="13"/>
      <c r="G146" s="12">
        <f t="shared" ref="G146:H146" si="152">+G110+G122+G134</f>
        <v>138113830</v>
      </c>
      <c r="H146" s="12">
        <f t="shared" si="152"/>
        <v>124744436.02999999</v>
      </c>
      <c r="I146" s="12">
        <f t="shared" si="139"/>
        <v>13369393.970000014</v>
      </c>
      <c r="J146" s="12"/>
      <c r="K146" s="12">
        <f t="shared" ref="K146:L146" si="153">+K110+K122+K134</f>
        <v>65855641.479999997</v>
      </c>
      <c r="L146" s="12">
        <f t="shared" si="153"/>
        <v>65344442.099999994</v>
      </c>
      <c r="M146" s="12">
        <f t="shared" si="140"/>
        <v>511199.38000000268</v>
      </c>
      <c r="N146" s="13"/>
      <c r="O146" s="12">
        <f t="shared" si="141"/>
        <v>1876295651.8299999</v>
      </c>
      <c r="P146" s="12">
        <f t="shared" si="142"/>
        <v>1500763927.1699998</v>
      </c>
      <c r="Q146" s="14">
        <f t="shared" si="143"/>
        <v>375531724.66000009</v>
      </c>
      <c r="R146" s="17">
        <f t="shared" si="144"/>
        <v>0.79985471676932463</v>
      </c>
    </row>
    <row r="147" spans="2:18" ht="24.95" customHeight="1">
      <c r="B147" s="64" t="s">
        <v>166</v>
      </c>
      <c r="C147" s="12">
        <f t="shared" si="145"/>
        <v>39599000</v>
      </c>
      <c r="D147" s="12">
        <f t="shared" si="145"/>
        <v>39598824.920000002</v>
      </c>
      <c r="E147" s="12">
        <f t="shared" si="138"/>
        <v>175.07999999821186</v>
      </c>
      <c r="F147" s="13"/>
      <c r="G147" s="12">
        <f t="shared" ref="G147:H147" si="154">+G111+G123+G135</f>
        <v>4230000</v>
      </c>
      <c r="H147" s="12">
        <f t="shared" si="154"/>
        <v>4230000</v>
      </c>
      <c r="I147" s="12">
        <f t="shared" si="139"/>
        <v>0</v>
      </c>
      <c r="J147" s="12"/>
      <c r="K147" s="12">
        <f t="shared" ref="K147:L147" si="155">+K111+K123+K135</f>
        <v>0</v>
      </c>
      <c r="L147" s="12">
        <f t="shared" si="155"/>
        <v>0</v>
      </c>
      <c r="M147" s="12">
        <f t="shared" si="140"/>
        <v>0</v>
      </c>
      <c r="N147" s="13"/>
      <c r="O147" s="12">
        <f t="shared" si="141"/>
        <v>43829000</v>
      </c>
      <c r="P147" s="12">
        <f t="shared" si="142"/>
        <v>43828824.920000002</v>
      </c>
      <c r="Q147" s="14">
        <f t="shared" si="143"/>
        <v>175.07999999821186</v>
      </c>
      <c r="R147" s="17">
        <f t="shared" si="144"/>
        <v>0.99999600538456279</v>
      </c>
    </row>
    <row r="148" spans="2:18" ht="24.95" customHeight="1">
      <c r="B148" s="64" t="s">
        <v>167</v>
      </c>
      <c r="C148" s="12">
        <f t="shared" si="145"/>
        <v>81922000</v>
      </c>
      <c r="D148" s="12">
        <f t="shared" si="145"/>
        <v>68958081.830000013</v>
      </c>
      <c r="E148" s="12">
        <f t="shared" si="138"/>
        <v>12963918.169999987</v>
      </c>
      <c r="F148" s="13"/>
      <c r="G148" s="12">
        <f t="shared" ref="G148:H148" si="156">+G112+G124+G136</f>
        <v>2325000</v>
      </c>
      <c r="H148" s="12">
        <f t="shared" si="156"/>
        <v>2240000</v>
      </c>
      <c r="I148" s="12">
        <f t="shared" si="139"/>
        <v>85000</v>
      </c>
      <c r="J148" s="12"/>
      <c r="K148" s="12">
        <f t="shared" ref="K148:L148" si="157">+K112+K124+K136</f>
        <v>0</v>
      </c>
      <c r="L148" s="12">
        <f t="shared" si="157"/>
        <v>0</v>
      </c>
      <c r="M148" s="12">
        <f t="shared" si="140"/>
        <v>0</v>
      </c>
      <c r="N148" s="13"/>
      <c r="O148" s="12">
        <f t="shared" si="141"/>
        <v>84247000</v>
      </c>
      <c r="P148" s="12">
        <f t="shared" si="142"/>
        <v>71198081.830000013</v>
      </c>
      <c r="Q148" s="14">
        <f t="shared" si="143"/>
        <v>13048918.169999987</v>
      </c>
      <c r="R148" s="17">
        <f t="shared" si="144"/>
        <v>0.84511118295013488</v>
      </c>
    </row>
    <row r="149" spans="2:18" ht="24.95" customHeight="1">
      <c r="B149" s="64" t="s">
        <v>168</v>
      </c>
      <c r="C149" s="12">
        <f t="shared" si="145"/>
        <v>130381000</v>
      </c>
      <c r="D149" s="12">
        <f t="shared" si="145"/>
        <v>58522301.409999996</v>
      </c>
      <c r="E149" s="12">
        <f t="shared" si="138"/>
        <v>71858698.590000004</v>
      </c>
      <c r="F149" s="13"/>
      <c r="G149" s="12">
        <f t="shared" ref="G149:H149" si="158">+G113+G125+G137</f>
        <v>0</v>
      </c>
      <c r="H149" s="12">
        <f t="shared" si="158"/>
        <v>0</v>
      </c>
      <c r="I149" s="12">
        <f t="shared" si="139"/>
        <v>0</v>
      </c>
      <c r="J149" s="12"/>
      <c r="K149" s="12">
        <f t="shared" ref="K149:L149" si="159">+K113+K125+K137</f>
        <v>0</v>
      </c>
      <c r="L149" s="12">
        <f t="shared" si="159"/>
        <v>0</v>
      </c>
      <c r="M149" s="12">
        <f t="shared" si="140"/>
        <v>0</v>
      </c>
      <c r="N149" s="13"/>
      <c r="O149" s="12">
        <f t="shared" si="141"/>
        <v>130381000</v>
      </c>
      <c r="P149" s="12">
        <f t="shared" si="142"/>
        <v>58522301.409999996</v>
      </c>
      <c r="Q149" s="14">
        <f t="shared" si="143"/>
        <v>71858698.590000004</v>
      </c>
      <c r="R149" s="17">
        <f t="shared" si="144"/>
        <v>0.44885605579033755</v>
      </c>
    </row>
    <row r="150" spans="2:18" ht="24.95" customHeight="1">
      <c r="B150" s="64" t="s">
        <v>169</v>
      </c>
      <c r="C150" s="12">
        <f t="shared" si="145"/>
        <v>75363500</v>
      </c>
      <c r="D150" s="12">
        <f t="shared" si="145"/>
        <v>58718118.540000007</v>
      </c>
      <c r="E150" s="12">
        <f t="shared" si="138"/>
        <v>16645381.459999993</v>
      </c>
      <c r="F150" s="13"/>
      <c r="G150" s="12">
        <f t="shared" ref="G150:H150" si="160">+G114+G126+G138</f>
        <v>0</v>
      </c>
      <c r="H150" s="12">
        <f t="shared" si="160"/>
        <v>0</v>
      </c>
      <c r="I150" s="12">
        <f t="shared" si="139"/>
        <v>0</v>
      </c>
      <c r="J150" s="12"/>
      <c r="K150" s="12">
        <f t="shared" ref="K150:L150" si="161">+K114+K126+K138</f>
        <v>0</v>
      </c>
      <c r="L150" s="12">
        <f t="shared" si="161"/>
        <v>0</v>
      </c>
      <c r="M150" s="12">
        <f t="shared" si="140"/>
        <v>0</v>
      </c>
      <c r="N150" s="13"/>
      <c r="O150" s="12">
        <f t="shared" si="141"/>
        <v>75363500</v>
      </c>
      <c r="P150" s="12">
        <f t="shared" si="142"/>
        <v>58718118.540000007</v>
      </c>
      <c r="Q150" s="14">
        <f t="shared" si="143"/>
        <v>16645381.459999993</v>
      </c>
      <c r="R150" s="17">
        <f t="shared" si="144"/>
        <v>0.77913205384569462</v>
      </c>
    </row>
    <row r="151" spans="2:18" s="48" customFormat="1" ht="24.95" customHeight="1">
      <c r="B151" s="72" t="s">
        <v>192</v>
      </c>
      <c r="C151" s="32">
        <f>SUM(C142:C150)</f>
        <v>14260617023.710001</v>
      </c>
      <c r="D151" s="32">
        <f>SUM(D142:D150)</f>
        <v>9708143650.6785717</v>
      </c>
      <c r="E151" s="32">
        <f t="shared" si="138"/>
        <v>4552473373.0314293</v>
      </c>
      <c r="F151" s="33"/>
      <c r="G151" s="32">
        <f>SUM(G142:G150)</f>
        <v>920343024.35000002</v>
      </c>
      <c r="H151" s="32">
        <f>SUM(H142:H150)</f>
        <v>841358457.37999988</v>
      </c>
      <c r="I151" s="32">
        <f t="shared" si="139"/>
        <v>78984566.970000148</v>
      </c>
      <c r="J151" s="32"/>
      <c r="K151" s="32">
        <f>SUM(K142:K150)</f>
        <v>332826878.20000005</v>
      </c>
      <c r="L151" s="32">
        <f>SUM(L142:L150)</f>
        <v>246470470.43999997</v>
      </c>
      <c r="M151" s="32">
        <f t="shared" si="140"/>
        <v>86356407.76000008</v>
      </c>
      <c r="N151" s="33"/>
      <c r="O151" s="32">
        <f t="shared" si="141"/>
        <v>15513786926.260002</v>
      </c>
      <c r="P151" s="32">
        <f t="shared" si="142"/>
        <v>10795972578.498571</v>
      </c>
      <c r="Q151" s="34">
        <f t="shared" si="143"/>
        <v>4717814347.7614307</v>
      </c>
      <c r="R151" s="65">
        <f t="shared" si="144"/>
        <v>0.69589537550141012</v>
      </c>
    </row>
    <row r="152" spans="2:18" ht="24.95" customHeight="1">
      <c r="B152" s="66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4"/>
    </row>
    <row r="153" spans="2:18" ht="24.95" customHeight="1">
      <c r="B153" s="70" t="s">
        <v>160</v>
      </c>
      <c r="C153" s="12"/>
      <c r="D153" s="12"/>
      <c r="E153" s="12"/>
      <c r="F153" s="13"/>
      <c r="G153" s="12"/>
      <c r="H153" s="12"/>
      <c r="I153" s="12"/>
      <c r="J153" s="12"/>
      <c r="K153" s="12"/>
      <c r="L153" s="12"/>
      <c r="M153" s="12"/>
      <c r="N153" s="13"/>
      <c r="O153" s="12"/>
      <c r="P153" s="12"/>
      <c r="Q153" s="14"/>
      <c r="R153" s="17"/>
    </row>
    <row r="154" spans="2:18" ht="24.95" customHeight="1">
      <c r="B154" s="64" t="s">
        <v>14</v>
      </c>
      <c r="C154" s="12">
        <f>+'october '!F8</f>
        <v>3927320121.25</v>
      </c>
      <c r="D154" s="12">
        <f>+'october '!G8</f>
        <v>345479434.89999998</v>
      </c>
      <c r="E154" s="12">
        <f t="shared" ref="E154:E163" si="162">+C154-D154</f>
        <v>3581840686.3499999</v>
      </c>
      <c r="F154" s="13"/>
      <c r="G154" s="12">
        <f>+'october '!J8</f>
        <v>0</v>
      </c>
      <c r="H154" s="12">
        <f>+'october '!K8</f>
        <v>0</v>
      </c>
      <c r="I154" s="12">
        <f t="shared" ref="I154:I163" si="163">+G154-H154</f>
        <v>0</v>
      </c>
      <c r="J154" s="12"/>
      <c r="K154" s="12">
        <f>+'october '!N8</f>
        <v>1215450</v>
      </c>
      <c r="L154" s="12">
        <f>+'october '!O8</f>
        <v>469399.18</v>
      </c>
      <c r="M154" s="12">
        <f t="shared" ref="M154:M163" si="164">+K154-L154</f>
        <v>746050.82000000007</v>
      </c>
      <c r="N154" s="13"/>
      <c r="O154" s="12">
        <f t="shared" ref="O154:O163" si="165">+C154+G154+K154</f>
        <v>3928535571.25</v>
      </c>
      <c r="P154" s="12">
        <f t="shared" ref="P154:P163" si="166">+D154+H154+L154</f>
        <v>345948834.07999998</v>
      </c>
      <c r="Q154" s="14">
        <f t="shared" ref="Q154:Q163" si="167">+O154-P154</f>
        <v>3582586737.1700001</v>
      </c>
      <c r="R154" s="17">
        <f t="shared" ref="R154:R163" si="168">+P154/O154</f>
        <v>8.8060506976630065E-2</v>
      </c>
    </row>
    <row r="155" spans="2:18" ht="24.95" customHeight="1">
      <c r="B155" s="64" t="s">
        <v>172</v>
      </c>
      <c r="C155" s="12">
        <f>+SUM('october '!F13:F17)+SUM('october '!F35:F46)</f>
        <v>808297225.11000001</v>
      </c>
      <c r="D155" s="12">
        <f>+SUM('october '!G13:G17)+SUM('october '!G35:G46)</f>
        <v>463245340.24000001</v>
      </c>
      <c r="E155" s="12">
        <f t="shared" si="162"/>
        <v>345051884.87</v>
      </c>
      <c r="F155" s="13"/>
      <c r="G155" s="12">
        <f>+SUM('october '!J13:J17)+SUM('october '!J35:J46)</f>
        <v>32955527.75</v>
      </c>
      <c r="H155" s="12">
        <f>+SUM('october '!K13:K17)+SUM('october '!K35:K46)</f>
        <v>26179629.140000001</v>
      </c>
      <c r="I155" s="12">
        <f t="shared" si="163"/>
        <v>6775898.6099999994</v>
      </c>
      <c r="J155" s="12"/>
      <c r="K155" s="12">
        <f>+SUM('october '!N13:N17)+SUM('october '!N35:N46)</f>
        <v>9202590</v>
      </c>
      <c r="L155" s="12">
        <f>+SUM('october '!O13:O17)+SUM('october '!O35:O46)</f>
        <v>7619660.1099999994</v>
      </c>
      <c r="M155" s="12">
        <f t="shared" si="164"/>
        <v>1582929.8900000006</v>
      </c>
      <c r="N155" s="13"/>
      <c r="O155" s="12">
        <f t="shared" si="165"/>
        <v>850455342.86000001</v>
      </c>
      <c r="P155" s="12">
        <f t="shared" si="166"/>
        <v>497044629.49000001</v>
      </c>
      <c r="Q155" s="14">
        <f t="shared" si="167"/>
        <v>353410713.37</v>
      </c>
      <c r="R155" s="17">
        <f t="shared" si="168"/>
        <v>0.58444530175856901</v>
      </c>
    </row>
    <row r="156" spans="2:18" ht="24.95" customHeight="1">
      <c r="B156" s="64" t="s">
        <v>170</v>
      </c>
      <c r="C156" s="12">
        <f>+'october '!F53+SUM('october '!F20:F32)</f>
        <v>880345223.95857143</v>
      </c>
      <c r="D156" s="12">
        <f>+'october '!G53+SUM('october '!G20:G32)</f>
        <v>541455787.89999998</v>
      </c>
      <c r="E156" s="12">
        <f t="shared" si="162"/>
        <v>338889436.05857146</v>
      </c>
      <c r="F156" s="13"/>
      <c r="G156" s="12">
        <f>+'october '!J53+SUM('october '!J20:J32)</f>
        <v>112395933</v>
      </c>
      <c r="H156" s="12">
        <f>+'october '!K53+SUM('october '!K20:K32)</f>
        <v>52190345.230000004</v>
      </c>
      <c r="I156" s="12">
        <f t="shared" si="163"/>
        <v>60205587.769999996</v>
      </c>
      <c r="J156" s="12"/>
      <c r="K156" s="12">
        <f>+'october '!N53+SUM('october '!N20:N32)</f>
        <v>25011045.039999999</v>
      </c>
      <c r="L156" s="12">
        <f>+'october '!O53+SUM('october '!O20:O32)</f>
        <v>7648770.0899999999</v>
      </c>
      <c r="M156" s="12">
        <f t="shared" si="164"/>
        <v>17362274.949999999</v>
      </c>
      <c r="N156" s="13"/>
      <c r="O156" s="12">
        <f t="shared" si="165"/>
        <v>1017752201.9985714</v>
      </c>
      <c r="P156" s="12">
        <f t="shared" si="166"/>
        <v>601294903.22000003</v>
      </c>
      <c r="Q156" s="14">
        <f t="shared" si="167"/>
        <v>416457298.77857137</v>
      </c>
      <c r="R156" s="17">
        <f t="shared" si="168"/>
        <v>0.5908067818858368</v>
      </c>
    </row>
    <row r="157" spans="2:18" ht="24.95" customHeight="1">
      <c r="B157" s="64" t="s">
        <v>164</v>
      </c>
      <c r="C157" s="12">
        <f>+'october '!F83</f>
        <v>325956774</v>
      </c>
      <c r="D157" s="12">
        <f>+'october '!G83</f>
        <v>206485767.31999999</v>
      </c>
      <c r="E157" s="12">
        <f t="shared" si="162"/>
        <v>119471006.68000001</v>
      </c>
      <c r="F157" s="13"/>
      <c r="G157" s="12">
        <f>+'october '!J83</f>
        <v>220657000</v>
      </c>
      <c r="H157" s="12">
        <f>+'october '!K83</f>
        <v>73294782.209999993</v>
      </c>
      <c r="I157" s="12">
        <f t="shared" si="163"/>
        <v>147362217.79000002</v>
      </c>
      <c r="J157" s="12"/>
      <c r="K157" s="12">
        <f>+'october '!N83</f>
        <v>3335599.13</v>
      </c>
      <c r="L157" s="12">
        <f>+'october '!O83</f>
        <v>8758912.3499999996</v>
      </c>
      <c r="M157" s="12">
        <f t="shared" si="164"/>
        <v>-5423313.2199999997</v>
      </c>
      <c r="N157" s="13"/>
      <c r="O157" s="12">
        <f t="shared" si="165"/>
        <v>549949373.13</v>
      </c>
      <c r="P157" s="12">
        <f t="shared" si="166"/>
        <v>288539461.88</v>
      </c>
      <c r="Q157" s="14">
        <f t="shared" si="167"/>
        <v>261409911.25</v>
      </c>
      <c r="R157" s="17">
        <f t="shared" si="168"/>
        <v>0.5246654982763177</v>
      </c>
    </row>
    <row r="158" spans="2:18" ht="24.95" customHeight="1">
      <c r="B158" s="64" t="s">
        <v>165</v>
      </c>
      <c r="C158" s="12">
        <f>'october '!F106</f>
        <v>682757871.21000004</v>
      </c>
      <c r="D158" s="12">
        <f>'october '!G106</f>
        <v>321301784.99000013</v>
      </c>
      <c r="E158" s="12">
        <f t="shared" si="162"/>
        <v>361456086.21999991</v>
      </c>
      <c r="F158" s="13"/>
      <c r="G158" s="12">
        <f>'october '!J106</f>
        <v>143947418</v>
      </c>
      <c r="H158" s="12">
        <f>'october '!K106</f>
        <v>25100696.900000002</v>
      </c>
      <c r="I158" s="12">
        <f t="shared" si="163"/>
        <v>118846721.09999999</v>
      </c>
      <c r="J158" s="12"/>
      <c r="K158" s="12">
        <f>'october '!N106</f>
        <v>18217006</v>
      </c>
      <c r="L158" s="12">
        <f>'october '!O106</f>
        <v>2731576.09</v>
      </c>
      <c r="M158" s="12">
        <f t="shared" si="164"/>
        <v>15485429.91</v>
      </c>
      <c r="N158" s="13"/>
      <c r="O158" s="12">
        <f t="shared" si="165"/>
        <v>844922295.21000004</v>
      </c>
      <c r="P158" s="12">
        <f t="shared" si="166"/>
        <v>349134057.98000008</v>
      </c>
      <c r="Q158" s="14">
        <f t="shared" si="167"/>
        <v>495788237.22999996</v>
      </c>
      <c r="R158" s="17">
        <f t="shared" si="168"/>
        <v>0.41321439848291025</v>
      </c>
    </row>
    <row r="159" spans="2:18" ht="24.95" customHeight="1">
      <c r="B159" s="64" t="s">
        <v>166</v>
      </c>
      <c r="C159" s="12">
        <f>+'october '!F49</f>
        <v>13727000</v>
      </c>
      <c r="D159" s="12">
        <f>+'october '!G49</f>
        <v>9143985.2200000007</v>
      </c>
      <c r="E159" s="12">
        <f t="shared" si="162"/>
        <v>4583014.7799999993</v>
      </c>
      <c r="F159" s="13"/>
      <c r="G159" s="12">
        <f>+'october '!J49</f>
        <v>0</v>
      </c>
      <c r="H159" s="12">
        <f>+'october '!K49</f>
        <v>0</v>
      </c>
      <c r="I159" s="12">
        <f t="shared" si="163"/>
        <v>0</v>
      </c>
      <c r="J159" s="12"/>
      <c r="K159" s="12">
        <f>+'october '!N49</f>
        <v>0</v>
      </c>
      <c r="L159" s="12">
        <f>+'october '!O49</f>
        <v>0</v>
      </c>
      <c r="M159" s="12">
        <f t="shared" si="164"/>
        <v>0</v>
      </c>
      <c r="N159" s="13"/>
      <c r="O159" s="12">
        <f t="shared" si="165"/>
        <v>13727000</v>
      </c>
      <c r="P159" s="12">
        <f t="shared" si="166"/>
        <v>9143985.2200000007</v>
      </c>
      <c r="Q159" s="14">
        <f t="shared" si="167"/>
        <v>4583014.7799999993</v>
      </c>
      <c r="R159" s="17">
        <f t="shared" si="168"/>
        <v>0.6661313630072121</v>
      </c>
    </row>
    <row r="160" spans="2:18" ht="24.95" customHeight="1">
      <c r="B160" s="64" t="s">
        <v>167</v>
      </c>
      <c r="C160" s="12">
        <f>+'october '!F50</f>
        <v>25073000</v>
      </c>
      <c r="D160" s="12">
        <f>+'october '!G50</f>
        <v>24688448.09</v>
      </c>
      <c r="E160" s="12">
        <f t="shared" si="162"/>
        <v>384551.91000000015</v>
      </c>
      <c r="F160" s="13"/>
      <c r="G160" s="12">
        <f>+'october '!J50</f>
        <v>0</v>
      </c>
      <c r="H160" s="12">
        <f>+'october '!K50</f>
        <v>0</v>
      </c>
      <c r="I160" s="12">
        <f t="shared" si="163"/>
        <v>0</v>
      </c>
      <c r="J160" s="12"/>
      <c r="K160" s="12">
        <f>+'october '!N50</f>
        <v>153292</v>
      </c>
      <c r="L160" s="12">
        <f>+'october '!O50</f>
        <v>153291.62</v>
      </c>
      <c r="M160" s="12">
        <f t="shared" si="164"/>
        <v>0.38000000000465661</v>
      </c>
      <c r="N160" s="13"/>
      <c r="O160" s="12">
        <f t="shared" si="165"/>
        <v>25226292</v>
      </c>
      <c r="P160" s="12">
        <f t="shared" si="166"/>
        <v>24841739.710000001</v>
      </c>
      <c r="Q160" s="14">
        <f t="shared" si="167"/>
        <v>384552.28999999911</v>
      </c>
      <c r="R160" s="17">
        <f t="shared" si="168"/>
        <v>0.98475589317684897</v>
      </c>
    </row>
    <row r="161" spans="2:18" ht="24.95" customHeight="1">
      <c r="B161" s="64" t="s">
        <v>168</v>
      </c>
      <c r="C161" s="12">
        <f>+'october '!F140</f>
        <v>41393500</v>
      </c>
      <c r="D161" s="12">
        <f>+'october '!G140</f>
        <v>21041202.399999999</v>
      </c>
      <c r="E161" s="12">
        <f t="shared" si="162"/>
        <v>20352297.600000001</v>
      </c>
      <c r="F161" s="13"/>
      <c r="G161" s="12">
        <f>+'october '!J140</f>
        <v>0</v>
      </c>
      <c r="H161" s="12">
        <f>+'october '!K140</f>
        <v>0</v>
      </c>
      <c r="I161" s="12">
        <f t="shared" si="163"/>
        <v>0</v>
      </c>
      <c r="J161" s="12"/>
      <c r="K161" s="12">
        <f>+'october '!N140</f>
        <v>0</v>
      </c>
      <c r="L161" s="12">
        <f>+'october '!O140</f>
        <v>0</v>
      </c>
      <c r="M161" s="12">
        <f t="shared" si="164"/>
        <v>0</v>
      </c>
      <c r="N161" s="13"/>
      <c r="O161" s="12">
        <f t="shared" si="165"/>
        <v>41393500</v>
      </c>
      <c r="P161" s="12">
        <f t="shared" si="166"/>
        <v>21041202.399999999</v>
      </c>
      <c r="Q161" s="14">
        <f t="shared" si="167"/>
        <v>20352297.600000001</v>
      </c>
      <c r="R161" s="17">
        <f t="shared" si="168"/>
        <v>0.50832141278220011</v>
      </c>
    </row>
    <row r="162" spans="2:18" ht="24.95" customHeight="1">
      <c r="B162" s="64" t="s">
        <v>169</v>
      </c>
      <c r="C162" s="12">
        <f>+'october '!F141</f>
        <v>22876000</v>
      </c>
      <c r="D162" s="12">
        <f>+'october '!G141</f>
        <v>16852415.23</v>
      </c>
      <c r="E162" s="12">
        <f t="shared" si="162"/>
        <v>6023584.7699999996</v>
      </c>
      <c r="F162" s="13"/>
      <c r="G162" s="12">
        <f>+'october '!J141</f>
        <v>0</v>
      </c>
      <c r="H162" s="12">
        <f>+'october '!K141</f>
        <v>0</v>
      </c>
      <c r="I162" s="12">
        <f t="shared" si="163"/>
        <v>0</v>
      </c>
      <c r="J162" s="12"/>
      <c r="K162" s="12">
        <f>+'october '!N141</f>
        <v>153982</v>
      </c>
      <c r="L162" s="12">
        <f>+'october '!O141</f>
        <v>153982</v>
      </c>
      <c r="M162" s="12">
        <f t="shared" si="164"/>
        <v>0</v>
      </c>
      <c r="N162" s="13"/>
      <c r="O162" s="12">
        <f t="shared" si="165"/>
        <v>23029982</v>
      </c>
      <c r="P162" s="12">
        <f t="shared" si="166"/>
        <v>17006397.23</v>
      </c>
      <c r="Q162" s="14">
        <f t="shared" si="167"/>
        <v>6023584.7699999996</v>
      </c>
      <c r="R162" s="17">
        <f t="shared" si="168"/>
        <v>0.73844596274543339</v>
      </c>
    </row>
    <row r="163" spans="2:18" ht="24.95" customHeight="1">
      <c r="B163" s="71" t="s">
        <v>193</v>
      </c>
      <c r="C163" s="12">
        <f>SUM(C154:C162)</f>
        <v>6727746715.5285711</v>
      </c>
      <c r="D163" s="12">
        <f>SUM(D154:D162)</f>
        <v>1949694166.29</v>
      </c>
      <c r="E163" s="12">
        <f t="shared" si="162"/>
        <v>4778052549.2385712</v>
      </c>
      <c r="F163" s="13"/>
      <c r="G163" s="12">
        <f>SUM(G154:G162)</f>
        <v>509955878.75</v>
      </c>
      <c r="H163" s="12">
        <f>SUM(H154:H162)</f>
        <v>176765453.47999999</v>
      </c>
      <c r="I163" s="12">
        <f t="shared" si="163"/>
        <v>333190425.26999998</v>
      </c>
      <c r="J163" s="12"/>
      <c r="K163" s="12">
        <f>SUM(K154:K162)</f>
        <v>57288964.170000002</v>
      </c>
      <c r="L163" s="12">
        <f>SUM(L154:L162)</f>
        <v>27535591.439999998</v>
      </c>
      <c r="M163" s="12">
        <f t="shared" si="164"/>
        <v>29753372.730000004</v>
      </c>
      <c r="N163" s="13"/>
      <c r="O163" s="12">
        <f t="shared" si="165"/>
        <v>7294991558.4485712</v>
      </c>
      <c r="P163" s="12">
        <f t="shared" si="166"/>
        <v>2153995211.21</v>
      </c>
      <c r="Q163" s="14">
        <f t="shared" si="167"/>
        <v>5140996347.2385712</v>
      </c>
      <c r="R163" s="17">
        <f t="shared" si="168"/>
        <v>0.29527041860869419</v>
      </c>
    </row>
    <row r="164" spans="2:18" ht="24.95" customHeight="1">
      <c r="B164" s="71"/>
      <c r="C164" s="12"/>
      <c r="D164" s="12"/>
      <c r="E164" s="12"/>
      <c r="F164" s="13"/>
      <c r="G164" s="12"/>
      <c r="H164" s="12"/>
      <c r="I164" s="12"/>
      <c r="J164" s="12"/>
      <c r="K164" s="12"/>
      <c r="L164" s="12"/>
      <c r="M164" s="12"/>
      <c r="N164" s="13"/>
      <c r="O164" s="12"/>
      <c r="P164" s="12"/>
      <c r="Q164" s="14"/>
      <c r="R164" s="17"/>
    </row>
    <row r="165" spans="2:18" ht="24.95" customHeight="1">
      <c r="B165" s="70" t="s">
        <v>161</v>
      </c>
      <c r="C165" s="12"/>
      <c r="D165" s="12"/>
      <c r="E165" s="12"/>
      <c r="F165" s="13"/>
      <c r="G165" s="12"/>
      <c r="H165" s="12"/>
      <c r="I165" s="12"/>
      <c r="J165" s="12"/>
      <c r="K165" s="12"/>
      <c r="L165" s="12"/>
      <c r="M165" s="12"/>
      <c r="N165" s="13"/>
      <c r="O165" s="12"/>
      <c r="P165" s="12"/>
      <c r="Q165" s="14"/>
      <c r="R165" s="17"/>
    </row>
    <row r="166" spans="2:18" ht="24.95" customHeight="1">
      <c r="B166" s="64" t="s">
        <v>14</v>
      </c>
      <c r="C166" s="12">
        <f>+november!F8</f>
        <v>3489565351.6199999</v>
      </c>
      <c r="D166" s="12">
        <f>+november!G8</f>
        <v>324111604.63</v>
      </c>
      <c r="E166" s="12">
        <f t="shared" ref="E166:E174" si="169">+C166-D166</f>
        <v>3165453746.9899998</v>
      </c>
      <c r="F166" s="13"/>
      <c r="G166" s="12">
        <f>+november!J8</f>
        <v>0</v>
      </c>
      <c r="H166" s="12">
        <f>+november!K8</f>
        <v>0</v>
      </c>
      <c r="I166" s="12">
        <f t="shared" ref="I166:I174" si="170">+G166-H166</f>
        <v>0</v>
      </c>
      <c r="J166" s="12"/>
      <c r="K166" s="12">
        <f>+november!N8</f>
        <v>809253</v>
      </c>
      <c r="L166" s="12">
        <f>+november!O8</f>
        <v>990683.81</v>
      </c>
      <c r="M166" s="12">
        <f t="shared" ref="M166:M175" si="171">+K166-L166</f>
        <v>-181430.81000000006</v>
      </c>
      <c r="N166" s="13"/>
      <c r="O166" s="12">
        <f t="shared" ref="O166:O175" si="172">+C166+G166+K166</f>
        <v>3490374604.6199999</v>
      </c>
      <c r="P166" s="12">
        <f t="shared" ref="P166:P175" si="173">+D166+H166+L166</f>
        <v>325102288.44</v>
      </c>
      <c r="Q166" s="14">
        <f t="shared" ref="Q166:Q175" si="174">+O166-P166</f>
        <v>3165272316.1799998</v>
      </c>
      <c r="R166" s="17">
        <f t="shared" ref="R166:R175" si="175">+P166/O166</f>
        <v>9.3142520579218513E-2</v>
      </c>
    </row>
    <row r="167" spans="2:18" ht="24.95" customHeight="1">
      <c r="B167" s="64" t="s">
        <v>172</v>
      </c>
      <c r="C167" s="12">
        <f>+SUM(november!F13:F17)+SUM(november!F35:F46)</f>
        <v>930629701.5</v>
      </c>
      <c r="D167" s="12">
        <f>+SUM(november!G13:G17)+SUM(november!G35:G46)</f>
        <v>557848534.70000005</v>
      </c>
      <c r="E167" s="12">
        <f t="shared" si="169"/>
        <v>372781166.79999995</v>
      </c>
      <c r="F167" s="13"/>
      <c r="G167" s="12">
        <f>+SUM(november!J13:J17)+SUM(november!J35:J46)</f>
        <v>10880508.76</v>
      </c>
      <c r="H167" s="12">
        <f>+SUM(november!K13:K17)+SUM(november!K35:K46)</f>
        <v>12638375.310000001</v>
      </c>
      <c r="I167" s="12">
        <f t="shared" si="170"/>
        <v>-1757866.5500000007</v>
      </c>
      <c r="J167" s="12"/>
      <c r="K167" s="12">
        <f>+SUM(november!N13:N17)+SUM(november!N35:N46)</f>
        <v>7751753</v>
      </c>
      <c r="L167" s="12">
        <f>+SUM(november!O13:O17)+SUM(november!O35:O46)</f>
        <v>5450080.1299999999</v>
      </c>
      <c r="M167" s="12">
        <f t="shared" si="171"/>
        <v>2301672.87</v>
      </c>
      <c r="N167" s="13"/>
      <c r="O167" s="12">
        <f t="shared" si="172"/>
        <v>949261963.25999999</v>
      </c>
      <c r="P167" s="12">
        <f t="shared" si="173"/>
        <v>575936990.13999999</v>
      </c>
      <c r="Q167" s="14">
        <f t="shared" si="174"/>
        <v>373324973.12</v>
      </c>
      <c r="R167" s="17">
        <f t="shared" si="175"/>
        <v>0.60672081304310366</v>
      </c>
    </row>
    <row r="168" spans="2:18" ht="24.95" customHeight="1">
      <c r="B168" s="64" t="s">
        <v>170</v>
      </c>
      <c r="C168" s="12">
        <f>+november!F53+SUM(november!F20:F32)</f>
        <v>998965584.5</v>
      </c>
      <c r="D168" s="12">
        <f>+november!G53+SUM(november!G20:G32)</f>
        <v>736883658.48000002</v>
      </c>
      <c r="E168" s="12">
        <f t="shared" si="169"/>
        <v>262081926.01999998</v>
      </c>
      <c r="F168" s="13"/>
      <c r="G168" s="12">
        <f>+november!J53+SUM(november!J20:J32)</f>
        <v>143562025.54000002</v>
      </c>
      <c r="H168" s="12">
        <f>+november!K53+SUM(november!K20:K32)</f>
        <v>92752592.379999995</v>
      </c>
      <c r="I168" s="12">
        <f t="shared" si="170"/>
        <v>50809433.160000026</v>
      </c>
      <c r="J168" s="12"/>
      <c r="K168" s="12">
        <f>+november!N53+SUM(november!N20:N32)</f>
        <v>25434170.5</v>
      </c>
      <c r="L168" s="12">
        <f>+november!O53+SUM(november!O20:O32)</f>
        <v>22885707.869999997</v>
      </c>
      <c r="M168" s="12">
        <f t="shared" si="171"/>
        <v>2548462.6300000027</v>
      </c>
      <c r="N168" s="13"/>
      <c r="O168" s="12">
        <f t="shared" si="172"/>
        <v>1167961780.54</v>
      </c>
      <c r="P168" s="12">
        <f t="shared" si="173"/>
        <v>852521958.73000002</v>
      </c>
      <c r="Q168" s="14">
        <f t="shared" si="174"/>
        <v>315439821.80999994</v>
      </c>
      <c r="R168" s="17">
        <f t="shared" si="175"/>
        <v>0.72992282190590319</v>
      </c>
    </row>
    <row r="169" spans="2:18" ht="24.95" customHeight="1">
      <c r="B169" s="64" t="s">
        <v>164</v>
      </c>
      <c r="C169" s="12">
        <f>+november!F83</f>
        <v>355352437.42000002</v>
      </c>
      <c r="D169" s="12">
        <f>+november!G83</f>
        <v>311921392.12</v>
      </c>
      <c r="E169" s="12">
        <f t="shared" si="169"/>
        <v>43431045.300000012</v>
      </c>
      <c r="F169" s="13"/>
      <c r="G169" s="12">
        <f>+november!J83</f>
        <v>149173763.56</v>
      </c>
      <c r="H169" s="12">
        <f>+november!K83</f>
        <v>77812898.920000002</v>
      </c>
      <c r="I169" s="12">
        <f t="shared" si="170"/>
        <v>71360864.640000001</v>
      </c>
      <c r="J169" s="12"/>
      <c r="K169" s="12">
        <f>+november!N83</f>
        <v>2200184.5700000003</v>
      </c>
      <c r="L169" s="12">
        <f>+november!O83</f>
        <v>7792074.9899999993</v>
      </c>
      <c r="M169" s="12">
        <f t="shared" si="171"/>
        <v>-5591890.419999999</v>
      </c>
      <c r="N169" s="13"/>
      <c r="O169" s="12">
        <f t="shared" si="172"/>
        <v>506726385.55000001</v>
      </c>
      <c r="P169" s="12">
        <f t="shared" si="173"/>
        <v>397526366.03000003</v>
      </c>
      <c r="Q169" s="14">
        <f t="shared" si="174"/>
        <v>109200019.51999998</v>
      </c>
      <c r="R169" s="17">
        <f t="shared" si="175"/>
        <v>0.78449904596644504</v>
      </c>
    </row>
    <row r="170" spans="2:18" ht="24.95" customHeight="1">
      <c r="B170" s="64" t="s">
        <v>165</v>
      </c>
      <c r="C170" s="12">
        <f>november!F106</f>
        <v>700590433</v>
      </c>
      <c r="D170" s="12">
        <f>november!G106</f>
        <v>362024209.48000002</v>
      </c>
      <c r="E170" s="12">
        <f t="shared" si="169"/>
        <v>338566223.51999998</v>
      </c>
      <c r="F170" s="13"/>
      <c r="G170" s="12">
        <f>november!J106</f>
        <v>55647777</v>
      </c>
      <c r="H170" s="12">
        <f>november!K106</f>
        <v>84615622.370000005</v>
      </c>
      <c r="I170" s="12">
        <f t="shared" si="170"/>
        <v>-28967845.370000005</v>
      </c>
      <c r="J170" s="12"/>
      <c r="K170" s="12">
        <f>november!N106</f>
        <v>3932108</v>
      </c>
      <c r="L170" s="12">
        <f>november!O106</f>
        <v>16954050.560000002</v>
      </c>
      <c r="M170" s="12">
        <f t="shared" si="171"/>
        <v>-13021942.560000002</v>
      </c>
      <c r="N170" s="13"/>
      <c r="O170" s="12">
        <f t="shared" si="172"/>
        <v>760170318</v>
      </c>
      <c r="P170" s="12">
        <f t="shared" si="173"/>
        <v>463593882.41000003</v>
      </c>
      <c r="Q170" s="14">
        <f t="shared" si="174"/>
        <v>296576435.58999997</v>
      </c>
      <c r="R170" s="17">
        <f t="shared" si="175"/>
        <v>0.60985528036626135</v>
      </c>
    </row>
    <row r="171" spans="2:18" ht="24.95" customHeight="1">
      <c r="B171" s="64" t="s">
        <v>166</v>
      </c>
      <c r="C171" s="12">
        <f>+november!F49</f>
        <v>14192000</v>
      </c>
      <c r="D171" s="12">
        <f>+november!G49</f>
        <v>14425752.449999999</v>
      </c>
      <c r="E171" s="12">
        <f t="shared" si="169"/>
        <v>-233752.44999999925</v>
      </c>
      <c r="F171" s="13"/>
      <c r="G171" s="12">
        <f>+november!J49</f>
        <v>0</v>
      </c>
      <c r="H171" s="12">
        <f>+november!K49</f>
        <v>0</v>
      </c>
      <c r="I171" s="12">
        <f t="shared" si="170"/>
        <v>0</v>
      </c>
      <c r="J171" s="12"/>
      <c r="K171" s="12">
        <f>+november!N49</f>
        <v>0</v>
      </c>
      <c r="L171" s="12">
        <f>+november!O49</f>
        <v>0</v>
      </c>
      <c r="M171" s="12">
        <f t="shared" si="171"/>
        <v>0</v>
      </c>
      <c r="N171" s="13"/>
      <c r="O171" s="12">
        <f t="shared" si="172"/>
        <v>14192000</v>
      </c>
      <c r="P171" s="12">
        <f t="shared" si="173"/>
        <v>14425752.449999999</v>
      </c>
      <c r="Q171" s="14">
        <f t="shared" si="174"/>
        <v>-233752.44999999925</v>
      </c>
      <c r="R171" s="17">
        <f t="shared" si="175"/>
        <v>1.0164707194193912</v>
      </c>
    </row>
    <row r="172" spans="2:18" ht="24.95" customHeight="1">
      <c r="B172" s="64" t="s">
        <v>167</v>
      </c>
      <c r="C172" s="12">
        <f>+november!F50</f>
        <v>31190000</v>
      </c>
      <c r="D172" s="12">
        <f>+november!G50</f>
        <v>31569960.23</v>
      </c>
      <c r="E172" s="12">
        <f t="shared" si="169"/>
        <v>-379960.23000000045</v>
      </c>
      <c r="F172" s="13"/>
      <c r="G172" s="12">
        <f>+november!J50</f>
        <v>0</v>
      </c>
      <c r="H172" s="12">
        <f>+november!K50</f>
        <v>0</v>
      </c>
      <c r="I172" s="12">
        <f t="shared" si="170"/>
        <v>0</v>
      </c>
      <c r="J172" s="12"/>
      <c r="K172" s="12">
        <f>+november!N50</f>
        <v>0</v>
      </c>
      <c r="L172" s="12">
        <f>+november!O50</f>
        <v>0</v>
      </c>
      <c r="M172" s="12">
        <f t="shared" si="171"/>
        <v>0</v>
      </c>
      <c r="N172" s="13"/>
      <c r="O172" s="12">
        <f t="shared" si="172"/>
        <v>31190000</v>
      </c>
      <c r="P172" s="12">
        <f t="shared" si="173"/>
        <v>31569960.23</v>
      </c>
      <c r="Q172" s="14">
        <f t="shared" si="174"/>
        <v>-379960.23000000045</v>
      </c>
      <c r="R172" s="17">
        <f t="shared" si="175"/>
        <v>1.0121821170246874</v>
      </c>
    </row>
    <row r="173" spans="2:18" ht="24.95" customHeight="1">
      <c r="B173" s="64" t="s">
        <v>168</v>
      </c>
      <c r="C173" s="12">
        <f>+november!F140</f>
        <v>28932000</v>
      </c>
      <c r="D173" s="12">
        <f>+november!G140</f>
        <v>23932974.579999998</v>
      </c>
      <c r="E173" s="12">
        <f t="shared" si="169"/>
        <v>4999025.4200000018</v>
      </c>
      <c r="F173" s="13"/>
      <c r="G173" s="12">
        <f>+november!J140</f>
        <v>0</v>
      </c>
      <c r="H173" s="12">
        <f>+november!K140</f>
        <v>0</v>
      </c>
      <c r="I173" s="12">
        <f t="shared" si="170"/>
        <v>0</v>
      </c>
      <c r="J173" s="12"/>
      <c r="K173" s="12">
        <f>+november!N140</f>
        <v>0</v>
      </c>
      <c r="L173" s="12">
        <f>+november!O140</f>
        <v>0</v>
      </c>
      <c r="M173" s="12">
        <f t="shared" si="171"/>
        <v>0</v>
      </c>
      <c r="N173" s="13"/>
      <c r="O173" s="12">
        <f t="shared" si="172"/>
        <v>28932000</v>
      </c>
      <c r="P173" s="12">
        <f t="shared" si="173"/>
        <v>23932974.579999998</v>
      </c>
      <c r="Q173" s="14">
        <f t="shared" si="174"/>
        <v>4999025.4200000018</v>
      </c>
      <c r="R173" s="17">
        <f t="shared" si="175"/>
        <v>0.8272146612747131</v>
      </c>
    </row>
    <row r="174" spans="2:18" ht="24.95" customHeight="1">
      <c r="B174" s="64" t="s">
        <v>169</v>
      </c>
      <c r="C174" s="12">
        <f>+november!F141</f>
        <v>28374000</v>
      </c>
      <c r="D174" s="12">
        <f>+november!G141</f>
        <v>26195878.829999998</v>
      </c>
      <c r="E174" s="12">
        <f t="shared" si="169"/>
        <v>2178121.1700000018</v>
      </c>
      <c r="F174" s="13"/>
      <c r="G174" s="12">
        <f>+november!J141</f>
        <v>0</v>
      </c>
      <c r="H174" s="12">
        <f>+november!K141</f>
        <v>0</v>
      </c>
      <c r="I174" s="12">
        <f t="shared" si="170"/>
        <v>0</v>
      </c>
      <c r="J174" s="12"/>
      <c r="K174" s="12">
        <f>+november!N141</f>
        <v>0</v>
      </c>
      <c r="L174" s="12">
        <f>+november!O141</f>
        <v>0</v>
      </c>
      <c r="M174" s="12">
        <f t="shared" si="171"/>
        <v>0</v>
      </c>
      <c r="N174" s="13"/>
      <c r="O174" s="12">
        <f t="shared" si="172"/>
        <v>28374000</v>
      </c>
      <c r="P174" s="12">
        <f t="shared" si="173"/>
        <v>26195878.829999998</v>
      </c>
      <c r="Q174" s="14">
        <f t="shared" si="174"/>
        <v>2178121.1700000018</v>
      </c>
      <c r="R174" s="17">
        <f t="shared" si="175"/>
        <v>0.92323531507718326</v>
      </c>
    </row>
    <row r="175" spans="2:18" ht="24.95" customHeight="1">
      <c r="B175" s="71" t="s">
        <v>194</v>
      </c>
      <c r="C175" s="12">
        <f>SUM(C166:C174)</f>
        <v>6577791508.04</v>
      </c>
      <c r="D175" s="12">
        <f>SUM(D166:D174)</f>
        <v>2388913965.4999995</v>
      </c>
      <c r="E175" s="12">
        <f t="shared" ref="E175" si="176">+C175-D175</f>
        <v>4188877542.5400004</v>
      </c>
      <c r="F175" s="13"/>
      <c r="G175" s="12">
        <f>SUM(G166:G174)</f>
        <v>359264074.86000001</v>
      </c>
      <c r="H175" s="12">
        <f>SUM(H166:H174)</f>
        <v>267819488.98000002</v>
      </c>
      <c r="I175" s="12">
        <f t="shared" ref="I175" si="177">+G175-H175</f>
        <v>91444585.879999995</v>
      </c>
      <c r="J175" s="12"/>
      <c r="K175" s="12">
        <f>SUM(K166:K174)</f>
        <v>40127469.07</v>
      </c>
      <c r="L175" s="12">
        <f>SUM(L166:L174)</f>
        <v>54072597.359999999</v>
      </c>
      <c r="M175" s="12">
        <f t="shared" si="171"/>
        <v>-13945128.289999999</v>
      </c>
      <c r="N175" s="13"/>
      <c r="O175" s="12">
        <f t="shared" si="172"/>
        <v>6977183051.9699993</v>
      </c>
      <c r="P175" s="12">
        <f t="shared" si="173"/>
        <v>2710806051.8399997</v>
      </c>
      <c r="Q175" s="14">
        <f t="shared" si="174"/>
        <v>4266377000.1299996</v>
      </c>
      <c r="R175" s="17">
        <f t="shared" si="175"/>
        <v>0.38852442764485112</v>
      </c>
    </row>
    <row r="176" spans="2:18" ht="24.95" customHeight="1">
      <c r="B176" s="71"/>
      <c r="C176" s="12"/>
      <c r="D176" s="12"/>
      <c r="E176" s="12"/>
      <c r="F176" s="13"/>
      <c r="G176" s="12"/>
      <c r="H176" s="12"/>
      <c r="I176" s="12"/>
      <c r="J176" s="12"/>
      <c r="K176" s="12"/>
      <c r="L176" s="12"/>
      <c r="M176" s="12"/>
      <c r="N176" s="13"/>
      <c r="O176" s="12"/>
      <c r="P176" s="12"/>
      <c r="Q176" s="14"/>
      <c r="R176" s="17"/>
    </row>
    <row r="177" spans="2:18" ht="24.95" customHeight="1">
      <c r="B177" s="70" t="s">
        <v>162</v>
      </c>
      <c r="C177" s="12"/>
      <c r="D177" s="12"/>
      <c r="E177" s="12"/>
      <c r="F177" s="13"/>
      <c r="G177" s="12"/>
      <c r="H177" s="12"/>
      <c r="I177" s="12"/>
      <c r="J177" s="12"/>
      <c r="K177" s="12"/>
      <c r="L177" s="12"/>
      <c r="M177" s="12"/>
      <c r="N177" s="13"/>
      <c r="O177" s="12"/>
      <c r="P177" s="12"/>
      <c r="Q177" s="14"/>
      <c r="R177" s="17"/>
    </row>
    <row r="178" spans="2:18" ht="24.95" customHeight="1">
      <c r="B178" s="64" t="s">
        <v>14</v>
      </c>
      <c r="C178" s="12">
        <f>+december!F8</f>
        <v>1557838195.9000001</v>
      </c>
      <c r="D178" s="12">
        <f>+december!G8</f>
        <v>746594890</v>
      </c>
      <c r="E178" s="12">
        <f t="shared" ref="E178:E186" si="178">+C178-D178</f>
        <v>811243305.9000001</v>
      </c>
      <c r="F178" s="13"/>
      <c r="G178" s="12">
        <f>+december!J8</f>
        <v>0</v>
      </c>
      <c r="H178" s="12">
        <f>+december!K8</f>
        <v>0</v>
      </c>
      <c r="I178" s="12">
        <f t="shared" ref="I178:I186" si="179">+G178-H178</f>
        <v>0</v>
      </c>
      <c r="J178" s="12"/>
      <c r="K178" s="12">
        <f>+december!N8</f>
        <v>924843</v>
      </c>
      <c r="L178" s="12">
        <f>+december!O8</f>
        <v>482520.48</v>
      </c>
      <c r="M178" s="12">
        <f t="shared" ref="M178:M187" si="180">+K178-L178</f>
        <v>442322.52</v>
      </c>
      <c r="N178" s="13"/>
      <c r="O178" s="12">
        <f t="shared" ref="O178:O187" si="181">+C178+G178+K178</f>
        <v>1558763038.9000001</v>
      </c>
      <c r="P178" s="12">
        <f t="shared" ref="P178:P187" si="182">+D178+H178+L178</f>
        <v>747077410.48000002</v>
      </c>
      <c r="Q178" s="14">
        <f t="shared" ref="Q178:Q187" si="183">+O178-P178</f>
        <v>811685628.42000008</v>
      </c>
      <c r="R178" s="17">
        <f t="shared" ref="R178:R187" si="184">+P178/O178</f>
        <v>0.47927580513276946</v>
      </c>
    </row>
    <row r="179" spans="2:18" ht="24.95" customHeight="1">
      <c r="B179" s="64" t="s">
        <v>172</v>
      </c>
      <c r="C179" s="12">
        <f>+SUM(december!F13:F17)+SUM(december!F35:F46)</f>
        <v>897086050.83999991</v>
      </c>
      <c r="D179" s="12">
        <f>+SUM(december!G13:G17)+SUM(december!G35:G46)</f>
        <v>936450186.32999992</v>
      </c>
      <c r="E179" s="12">
        <f t="shared" si="178"/>
        <v>-39364135.49000001</v>
      </c>
      <c r="F179" s="13"/>
      <c r="G179" s="12">
        <f>+SUM(december!J13:J17)+SUM(december!J35:J46)</f>
        <v>133404207.09999999</v>
      </c>
      <c r="H179" s="12">
        <f>+SUM(december!K13:K17)+SUM(december!K35:K46)</f>
        <v>93790101.49000001</v>
      </c>
      <c r="I179" s="12">
        <f t="shared" si="179"/>
        <v>39614105.609999985</v>
      </c>
      <c r="J179" s="12"/>
      <c r="K179" s="12">
        <f>+SUM(december!N13:N17)+SUM(december!N35:N46)</f>
        <v>34099822</v>
      </c>
      <c r="L179" s="12">
        <f>+SUM(december!O13:O17)+SUM(december!O35:O46)</f>
        <v>36808360.900000006</v>
      </c>
      <c r="M179" s="12">
        <f t="shared" si="180"/>
        <v>-2708538.900000006</v>
      </c>
      <c r="N179" s="13"/>
      <c r="O179" s="12">
        <f t="shared" si="181"/>
        <v>1064590079.9399999</v>
      </c>
      <c r="P179" s="12">
        <f t="shared" si="182"/>
        <v>1067048648.7199999</v>
      </c>
      <c r="Q179" s="14">
        <f t="shared" si="183"/>
        <v>-2458568.7799999714</v>
      </c>
      <c r="R179" s="17">
        <f t="shared" si="184"/>
        <v>1.0023094041794365</v>
      </c>
    </row>
    <row r="180" spans="2:18" ht="24.95" customHeight="1">
      <c r="B180" s="64" t="s">
        <v>170</v>
      </c>
      <c r="C180" s="12">
        <f>+december!F53+SUM(december!F20:F32)</f>
        <v>1085624375.4400001</v>
      </c>
      <c r="D180" s="12">
        <f>+december!G53+SUM(december!G20:G32)</f>
        <v>1515919588.6600003</v>
      </c>
      <c r="E180" s="12">
        <f t="shared" si="178"/>
        <v>-430295213.22000027</v>
      </c>
      <c r="F180" s="13"/>
      <c r="G180" s="12">
        <f>+december!J53+SUM(december!J20:J32)</f>
        <v>400743658</v>
      </c>
      <c r="H180" s="12">
        <f>+december!K53+SUM(december!K20:K32)</f>
        <v>493843627.29000002</v>
      </c>
      <c r="I180" s="12">
        <f t="shared" si="179"/>
        <v>-93099969.290000021</v>
      </c>
      <c r="J180" s="12"/>
      <c r="K180" s="12">
        <f>+december!N53+SUM(december!N20:N32)</f>
        <v>49939426.5</v>
      </c>
      <c r="L180" s="12">
        <f>+december!O53+SUM(december!O20:O32)</f>
        <v>63208931.650000006</v>
      </c>
      <c r="M180" s="12">
        <f t="shared" si="180"/>
        <v>-13269505.150000006</v>
      </c>
      <c r="N180" s="13"/>
      <c r="O180" s="12">
        <f t="shared" si="181"/>
        <v>1536307459.9400001</v>
      </c>
      <c r="P180" s="12">
        <f t="shared" si="182"/>
        <v>2072972147.6000004</v>
      </c>
      <c r="Q180" s="14">
        <f t="shared" si="183"/>
        <v>-536664687.66000032</v>
      </c>
      <c r="R180" s="17">
        <f t="shared" si="184"/>
        <v>1.3493211493492061</v>
      </c>
    </row>
    <row r="181" spans="2:18" ht="24.95" customHeight="1">
      <c r="B181" s="64" t="s">
        <v>164</v>
      </c>
      <c r="C181" s="12">
        <f>+december!F83</f>
        <v>371561219</v>
      </c>
      <c r="D181" s="12">
        <f>+december!G83</f>
        <v>458494163.82000005</v>
      </c>
      <c r="E181" s="12">
        <f t="shared" si="178"/>
        <v>-86932944.820000052</v>
      </c>
      <c r="F181" s="13"/>
      <c r="G181" s="12">
        <f>+december!J83</f>
        <v>287695998</v>
      </c>
      <c r="H181" s="12">
        <f>+december!K83</f>
        <v>435877626.03999996</v>
      </c>
      <c r="I181" s="12">
        <f t="shared" si="179"/>
        <v>-148181628.03999996</v>
      </c>
      <c r="J181" s="12"/>
      <c r="K181" s="12">
        <f>+december!N83</f>
        <v>2545342</v>
      </c>
      <c r="L181" s="12">
        <f>+december!O83</f>
        <v>10758911.359999999</v>
      </c>
      <c r="M181" s="12">
        <f t="shared" si="180"/>
        <v>-8213569.3599999994</v>
      </c>
      <c r="N181" s="13"/>
      <c r="O181" s="12">
        <f t="shared" si="181"/>
        <v>661802559</v>
      </c>
      <c r="P181" s="12">
        <f t="shared" si="182"/>
        <v>905130701.22000003</v>
      </c>
      <c r="Q181" s="14">
        <f t="shared" si="183"/>
        <v>-243328142.22000003</v>
      </c>
      <c r="R181" s="17">
        <f t="shared" si="184"/>
        <v>1.3676748282564439</v>
      </c>
    </row>
    <row r="182" spans="2:18" ht="24.95" customHeight="1">
      <c r="B182" s="64" t="s">
        <v>165</v>
      </c>
      <c r="C182" s="12">
        <f>december!F106</f>
        <v>556549870.75</v>
      </c>
      <c r="D182" s="12">
        <f>december!G106</f>
        <v>1095210376.2299998</v>
      </c>
      <c r="E182" s="12">
        <f t="shared" si="178"/>
        <v>-538660505.47999978</v>
      </c>
      <c r="F182" s="13"/>
      <c r="G182" s="12">
        <f>december!J106</f>
        <v>197325941</v>
      </c>
      <c r="H182" s="12">
        <f>december!K106</f>
        <v>176388512.47000003</v>
      </c>
      <c r="I182" s="12">
        <f t="shared" si="179"/>
        <v>20937428.529999971</v>
      </c>
      <c r="J182" s="12"/>
      <c r="K182" s="12">
        <f>december!N106</f>
        <v>103675</v>
      </c>
      <c r="L182" s="12">
        <f>december!O106</f>
        <v>2376148.21</v>
      </c>
      <c r="M182" s="12">
        <f t="shared" si="180"/>
        <v>-2272473.21</v>
      </c>
      <c r="N182" s="13"/>
      <c r="O182" s="12">
        <f t="shared" si="181"/>
        <v>753979486.75</v>
      </c>
      <c r="P182" s="12">
        <f t="shared" si="182"/>
        <v>1273975036.9099998</v>
      </c>
      <c r="Q182" s="14">
        <f t="shared" si="183"/>
        <v>-519995550.15999985</v>
      </c>
      <c r="R182" s="17">
        <f t="shared" si="184"/>
        <v>1.6896680338100722</v>
      </c>
    </row>
    <row r="183" spans="2:18" ht="24.95" customHeight="1">
      <c r="B183" s="64" t="s">
        <v>166</v>
      </c>
      <c r="C183" s="12">
        <f>+december!F49</f>
        <v>24738000</v>
      </c>
      <c r="D183" s="12">
        <f>+december!G49</f>
        <v>30915670.550000001</v>
      </c>
      <c r="E183" s="12">
        <f t="shared" si="178"/>
        <v>-6177670.5500000007</v>
      </c>
      <c r="F183" s="13"/>
      <c r="G183" s="12">
        <f>+december!J49</f>
        <v>0</v>
      </c>
      <c r="H183" s="12">
        <f>+december!K49</f>
        <v>0</v>
      </c>
      <c r="I183" s="12">
        <f t="shared" si="179"/>
        <v>0</v>
      </c>
      <c r="J183" s="12"/>
      <c r="K183" s="12">
        <f>+december!N49</f>
        <v>0</v>
      </c>
      <c r="L183" s="12">
        <f>+december!O49</f>
        <v>0</v>
      </c>
      <c r="M183" s="12">
        <f t="shared" si="180"/>
        <v>0</v>
      </c>
      <c r="N183" s="13"/>
      <c r="O183" s="12">
        <f t="shared" si="181"/>
        <v>24738000</v>
      </c>
      <c r="P183" s="12">
        <f t="shared" si="182"/>
        <v>30915670.550000001</v>
      </c>
      <c r="Q183" s="14">
        <f t="shared" si="183"/>
        <v>-6177670.5500000007</v>
      </c>
      <c r="R183" s="17">
        <f t="shared" si="184"/>
        <v>1.2497239287735469</v>
      </c>
    </row>
    <row r="184" spans="2:18" ht="24.95" customHeight="1">
      <c r="B184" s="64" t="s">
        <v>167</v>
      </c>
      <c r="C184" s="12">
        <f>+december!F50</f>
        <v>62750700</v>
      </c>
      <c r="D184" s="12">
        <f>+december!G50</f>
        <v>42871560.869999997</v>
      </c>
      <c r="E184" s="12">
        <f t="shared" si="178"/>
        <v>19879139.130000003</v>
      </c>
      <c r="F184" s="13"/>
      <c r="G184" s="12">
        <f>+december!J50</f>
        <v>0</v>
      </c>
      <c r="H184" s="12">
        <f>+december!K50</f>
        <v>0</v>
      </c>
      <c r="I184" s="12">
        <f t="shared" si="179"/>
        <v>0</v>
      </c>
      <c r="J184" s="12"/>
      <c r="K184" s="12">
        <f>+december!N50</f>
        <v>676474</v>
      </c>
      <c r="L184" s="12">
        <f>+december!O50</f>
        <v>548990.63</v>
      </c>
      <c r="M184" s="12">
        <f t="shared" si="180"/>
        <v>127483.37</v>
      </c>
      <c r="N184" s="13"/>
      <c r="O184" s="12">
        <f t="shared" si="181"/>
        <v>63427174</v>
      </c>
      <c r="P184" s="12">
        <f t="shared" si="182"/>
        <v>43420551.5</v>
      </c>
      <c r="Q184" s="14">
        <f t="shared" si="183"/>
        <v>20006622.5</v>
      </c>
      <c r="R184" s="17">
        <f t="shared" si="184"/>
        <v>0.68457332656819925</v>
      </c>
    </row>
    <row r="185" spans="2:18" ht="24.95" customHeight="1">
      <c r="B185" s="64" t="s">
        <v>168</v>
      </c>
      <c r="C185" s="12">
        <f>+december!F140</f>
        <v>31207000</v>
      </c>
      <c r="D185" s="12">
        <f>+december!G140</f>
        <v>56544162.630000003</v>
      </c>
      <c r="E185" s="12">
        <f t="shared" si="178"/>
        <v>-25337162.630000003</v>
      </c>
      <c r="F185" s="13"/>
      <c r="G185" s="12">
        <f>+december!J140</f>
        <v>0</v>
      </c>
      <c r="H185" s="12">
        <f>+december!K140</f>
        <v>0</v>
      </c>
      <c r="I185" s="12">
        <f t="shared" si="179"/>
        <v>0</v>
      </c>
      <c r="J185" s="12"/>
      <c r="K185" s="12">
        <f>+december!N140</f>
        <v>0</v>
      </c>
      <c r="L185" s="12">
        <f>+december!O140</f>
        <v>0</v>
      </c>
      <c r="M185" s="12">
        <f t="shared" si="180"/>
        <v>0</v>
      </c>
      <c r="N185" s="13"/>
      <c r="O185" s="12">
        <f t="shared" si="181"/>
        <v>31207000</v>
      </c>
      <c r="P185" s="12">
        <f t="shared" si="182"/>
        <v>56544162.630000003</v>
      </c>
      <c r="Q185" s="14">
        <f t="shared" si="183"/>
        <v>-25337162.630000003</v>
      </c>
      <c r="R185" s="17">
        <f t="shared" si="184"/>
        <v>1.8119063873489922</v>
      </c>
    </row>
    <row r="186" spans="2:18" ht="24.95" customHeight="1">
      <c r="B186" s="64" t="s">
        <v>169</v>
      </c>
      <c r="C186" s="12">
        <f>+december!F141</f>
        <v>54309747</v>
      </c>
      <c r="D186" s="12">
        <f>+december!G141</f>
        <v>60849659.939999998</v>
      </c>
      <c r="E186" s="12">
        <f t="shared" si="178"/>
        <v>-6539912.9399999976</v>
      </c>
      <c r="F186" s="13"/>
      <c r="G186" s="12">
        <f>+december!J141</f>
        <v>0</v>
      </c>
      <c r="H186" s="12">
        <f>+december!K141</f>
        <v>0</v>
      </c>
      <c r="I186" s="12">
        <f t="shared" si="179"/>
        <v>0</v>
      </c>
      <c r="J186" s="12"/>
      <c r="K186" s="12">
        <f>+december!N141</f>
        <v>0</v>
      </c>
      <c r="L186" s="12">
        <f>+december!O141</f>
        <v>2629196.54</v>
      </c>
      <c r="M186" s="12">
        <f t="shared" si="180"/>
        <v>-2629196.54</v>
      </c>
      <c r="N186" s="13"/>
      <c r="O186" s="12">
        <f t="shared" si="181"/>
        <v>54309747</v>
      </c>
      <c r="P186" s="12">
        <f t="shared" si="182"/>
        <v>63478856.479999997</v>
      </c>
      <c r="Q186" s="14">
        <f t="shared" si="183"/>
        <v>-9169109.4799999967</v>
      </c>
      <c r="R186" s="17">
        <f t="shared" si="184"/>
        <v>1.1688299059835427</v>
      </c>
    </row>
    <row r="187" spans="2:18" ht="24.95" customHeight="1">
      <c r="B187" s="71" t="s">
        <v>195</v>
      </c>
      <c r="C187" s="12">
        <f>SUM(C178:C186)</f>
        <v>4641665158.9300003</v>
      </c>
      <c r="D187" s="12">
        <f>SUM(D178:D186)</f>
        <v>4943850259.0299997</v>
      </c>
      <c r="E187" s="12">
        <f t="shared" ref="E187" si="185">+C187-D187</f>
        <v>-302185100.09999943</v>
      </c>
      <c r="F187" s="13"/>
      <c r="G187" s="12">
        <f>SUM(G178:G186)</f>
        <v>1019169804.1</v>
      </c>
      <c r="H187" s="12">
        <f>SUM(H178:H186)</f>
        <v>1199899867.29</v>
      </c>
      <c r="I187" s="12">
        <f t="shared" ref="I187" si="186">+G187-H187</f>
        <v>-180730063.18999994</v>
      </c>
      <c r="J187" s="12"/>
      <c r="K187" s="12">
        <f>SUM(K178:K186)</f>
        <v>88289582.5</v>
      </c>
      <c r="L187" s="12">
        <f>SUM(L178:L186)</f>
        <v>116813059.77</v>
      </c>
      <c r="M187" s="12">
        <f t="shared" si="180"/>
        <v>-28523477.269999996</v>
      </c>
      <c r="N187" s="13"/>
      <c r="O187" s="12">
        <f t="shared" si="181"/>
        <v>5749124545.5300007</v>
      </c>
      <c r="P187" s="12">
        <f t="shared" si="182"/>
        <v>6260563186.0900002</v>
      </c>
      <c r="Q187" s="14">
        <f t="shared" si="183"/>
        <v>-511438640.55999947</v>
      </c>
      <c r="R187" s="17">
        <f t="shared" si="184"/>
        <v>1.088959394862588</v>
      </c>
    </row>
    <row r="188" spans="2:18" ht="24.95" customHeight="1">
      <c r="B188" s="71"/>
      <c r="C188" s="12"/>
      <c r="D188" s="12"/>
      <c r="E188" s="12"/>
      <c r="F188" s="13"/>
      <c r="G188" s="12"/>
      <c r="H188" s="12"/>
      <c r="I188" s="12"/>
      <c r="J188" s="12"/>
      <c r="K188" s="12"/>
      <c r="L188" s="12"/>
      <c r="M188" s="12"/>
      <c r="N188" s="13"/>
      <c r="O188" s="12"/>
      <c r="P188" s="12"/>
      <c r="Q188" s="14"/>
      <c r="R188" s="17"/>
    </row>
    <row r="189" spans="2:18" ht="24.95" customHeight="1">
      <c r="B189" s="73" t="s">
        <v>196</v>
      </c>
      <c r="C189" s="12"/>
      <c r="D189" s="12"/>
      <c r="E189" s="12"/>
      <c r="F189" s="13"/>
      <c r="G189" s="12"/>
      <c r="H189" s="12"/>
      <c r="I189" s="12"/>
      <c r="J189" s="12"/>
      <c r="K189" s="12"/>
      <c r="L189" s="12"/>
      <c r="M189" s="12"/>
      <c r="N189" s="13"/>
      <c r="O189" s="12"/>
      <c r="P189" s="12"/>
      <c r="Q189" s="14"/>
      <c r="R189" s="17"/>
    </row>
    <row r="190" spans="2:18" ht="24.95" customHeight="1">
      <c r="B190" s="64" t="s">
        <v>14</v>
      </c>
      <c r="C190" s="12">
        <f>+C154+C166+C178</f>
        <v>8974723668.7700005</v>
      </c>
      <c r="D190" s="12">
        <f>+D154+D166+D178</f>
        <v>1416185929.53</v>
      </c>
      <c r="E190" s="12">
        <f t="shared" ref="E190:E199" si="187">+C190-D190</f>
        <v>7558537739.2400007</v>
      </c>
      <c r="F190" s="13"/>
      <c r="G190" s="12">
        <f>+G154+G166+G178</f>
        <v>0</v>
      </c>
      <c r="H190" s="12">
        <f>+H154+H166+H178</f>
        <v>0</v>
      </c>
      <c r="I190" s="12">
        <f t="shared" ref="I190:I199" si="188">+G190-H190</f>
        <v>0</v>
      </c>
      <c r="J190" s="12"/>
      <c r="K190" s="12">
        <f>+K154+K166+K178</f>
        <v>2949546</v>
      </c>
      <c r="L190" s="12">
        <f>+L154+L166+L178</f>
        <v>1942603.47</v>
      </c>
      <c r="M190" s="12">
        <f t="shared" ref="M190:M199" si="189">+K190-L190</f>
        <v>1006942.53</v>
      </c>
      <c r="N190" s="13"/>
      <c r="O190" s="12">
        <f t="shared" ref="O190:O199" si="190">+C190+G190+K190</f>
        <v>8977673214.7700005</v>
      </c>
      <c r="P190" s="12">
        <f t="shared" ref="P190:P199" si="191">+D190+H190+L190</f>
        <v>1418128533</v>
      </c>
      <c r="Q190" s="14">
        <f t="shared" ref="Q190:Q199" si="192">+O190-P190</f>
        <v>7559544681.7700005</v>
      </c>
      <c r="R190" s="17">
        <f t="shared" ref="R190:R199" si="193">+P190/O190</f>
        <v>0.15796170110835686</v>
      </c>
    </row>
    <row r="191" spans="2:18" ht="24.95" customHeight="1">
      <c r="B191" s="64" t="s">
        <v>172</v>
      </c>
      <c r="C191" s="12">
        <f t="shared" ref="C191:D191" si="194">+C155+C167+C179</f>
        <v>2636012977.4499998</v>
      </c>
      <c r="D191" s="12">
        <f t="shared" si="194"/>
        <v>1957544061.27</v>
      </c>
      <c r="E191" s="12">
        <f t="shared" si="187"/>
        <v>678468916.17999983</v>
      </c>
      <c r="F191" s="13"/>
      <c r="G191" s="12">
        <f t="shared" ref="G191:H191" si="195">+G155+G167+G179</f>
        <v>177240243.60999998</v>
      </c>
      <c r="H191" s="12">
        <f t="shared" si="195"/>
        <v>132608105.94000001</v>
      </c>
      <c r="I191" s="12">
        <f t="shared" si="188"/>
        <v>44632137.669999972</v>
      </c>
      <c r="J191" s="12"/>
      <c r="K191" s="12">
        <f t="shared" ref="K191:L191" si="196">+K155+K167+K179</f>
        <v>51054165</v>
      </c>
      <c r="L191" s="12">
        <f t="shared" si="196"/>
        <v>49878101.140000001</v>
      </c>
      <c r="M191" s="12">
        <f t="shared" si="189"/>
        <v>1176063.8599999994</v>
      </c>
      <c r="N191" s="13"/>
      <c r="O191" s="12">
        <f t="shared" si="190"/>
        <v>2864307386.0599999</v>
      </c>
      <c r="P191" s="12">
        <f t="shared" si="191"/>
        <v>2140030268.3500001</v>
      </c>
      <c r="Q191" s="14">
        <f t="shared" si="192"/>
        <v>724277117.7099998</v>
      </c>
      <c r="R191" s="17">
        <f t="shared" si="193"/>
        <v>0.74713708408709589</v>
      </c>
    </row>
    <row r="192" spans="2:18" ht="24.95" customHeight="1">
      <c r="B192" s="64" t="s">
        <v>170</v>
      </c>
      <c r="C192" s="12">
        <f t="shared" ref="C192:D192" si="197">+C156+C168+C180</f>
        <v>2964935183.8985715</v>
      </c>
      <c r="D192" s="12">
        <f t="shared" si="197"/>
        <v>2794259035.0400004</v>
      </c>
      <c r="E192" s="12">
        <f t="shared" si="187"/>
        <v>170676148.85857105</v>
      </c>
      <c r="F192" s="13"/>
      <c r="G192" s="12">
        <f t="shared" ref="G192:H192" si="198">+G156+G168+G180</f>
        <v>656701616.53999996</v>
      </c>
      <c r="H192" s="12">
        <f t="shared" si="198"/>
        <v>638786564.9000001</v>
      </c>
      <c r="I192" s="12">
        <f t="shared" si="188"/>
        <v>17915051.639999866</v>
      </c>
      <c r="J192" s="12"/>
      <c r="K192" s="12">
        <f t="shared" ref="K192:L192" si="199">+K156+K168+K180</f>
        <v>100384642.03999999</v>
      </c>
      <c r="L192" s="12">
        <f t="shared" si="199"/>
        <v>93743409.609999999</v>
      </c>
      <c r="M192" s="12">
        <f t="shared" si="189"/>
        <v>6641232.4299999923</v>
      </c>
      <c r="N192" s="13"/>
      <c r="O192" s="12">
        <f t="shared" si="190"/>
        <v>3722021442.4785714</v>
      </c>
      <c r="P192" s="12">
        <f t="shared" si="191"/>
        <v>3526789009.5500007</v>
      </c>
      <c r="Q192" s="14">
        <f t="shared" si="192"/>
        <v>195232432.92857075</v>
      </c>
      <c r="R192" s="17">
        <f t="shared" si="193"/>
        <v>0.94754666625494732</v>
      </c>
    </row>
    <row r="193" spans="1:20" ht="24.95" customHeight="1">
      <c r="B193" s="64" t="s">
        <v>164</v>
      </c>
      <c r="C193" s="12">
        <f t="shared" ref="C193:D193" si="200">+C157+C169+C181</f>
        <v>1052870430.4200001</v>
      </c>
      <c r="D193" s="12">
        <f t="shared" si="200"/>
        <v>976901323.25999999</v>
      </c>
      <c r="E193" s="12">
        <f t="shared" si="187"/>
        <v>75969107.160000086</v>
      </c>
      <c r="F193" s="13"/>
      <c r="G193" s="12">
        <f t="shared" ref="G193:H193" si="201">+G157+G169+G181</f>
        <v>657526761.55999994</v>
      </c>
      <c r="H193" s="12">
        <f t="shared" si="201"/>
        <v>586985307.16999996</v>
      </c>
      <c r="I193" s="12">
        <f t="shared" si="188"/>
        <v>70541454.389999986</v>
      </c>
      <c r="J193" s="12"/>
      <c r="K193" s="12">
        <f t="shared" ref="K193:L193" si="202">+K157+K169+K181</f>
        <v>8081125.7000000002</v>
      </c>
      <c r="L193" s="12">
        <f t="shared" si="202"/>
        <v>27309898.699999999</v>
      </c>
      <c r="M193" s="12">
        <f t="shared" si="189"/>
        <v>-19228773</v>
      </c>
      <c r="N193" s="13"/>
      <c r="O193" s="12">
        <f t="shared" si="190"/>
        <v>1718478317.6800001</v>
      </c>
      <c r="P193" s="12">
        <f t="shared" si="191"/>
        <v>1591196529.1299999</v>
      </c>
      <c r="Q193" s="14">
        <f t="shared" si="192"/>
        <v>127281788.55000019</v>
      </c>
      <c r="R193" s="17">
        <f t="shared" si="193"/>
        <v>0.92593343352633362</v>
      </c>
    </row>
    <row r="194" spans="1:20" ht="24.95" customHeight="1">
      <c r="B194" s="64" t="s">
        <v>165</v>
      </c>
      <c r="C194" s="12">
        <f t="shared" ref="C194:D194" si="203">+C158+C170+C182</f>
        <v>1939898174.96</v>
      </c>
      <c r="D194" s="12">
        <f t="shared" si="203"/>
        <v>1778536370.6999998</v>
      </c>
      <c r="E194" s="12">
        <f t="shared" si="187"/>
        <v>161361804.26000023</v>
      </c>
      <c r="F194" s="13"/>
      <c r="G194" s="12">
        <f t="shared" ref="G194:H194" si="204">+G158+G170+G182</f>
        <v>396921136</v>
      </c>
      <c r="H194" s="12">
        <f t="shared" si="204"/>
        <v>286104831.74000001</v>
      </c>
      <c r="I194" s="12">
        <f t="shared" si="188"/>
        <v>110816304.25999999</v>
      </c>
      <c r="J194" s="12"/>
      <c r="K194" s="12">
        <f t="shared" ref="K194:L194" si="205">+K158+K170+K182</f>
        <v>22252789</v>
      </c>
      <c r="L194" s="12">
        <f t="shared" si="205"/>
        <v>22061774.860000003</v>
      </c>
      <c r="M194" s="12">
        <f t="shared" si="189"/>
        <v>191014.13999999687</v>
      </c>
      <c r="N194" s="13"/>
      <c r="O194" s="12">
        <f t="shared" si="190"/>
        <v>2359072099.96</v>
      </c>
      <c r="P194" s="12">
        <f t="shared" si="191"/>
        <v>2086702977.2999997</v>
      </c>
      <c r="Q194" s="14">
        <f t="shared" si="192"/>
        <v>272369122.66000032</v>
      </c>
      <c r="R194" s="17">
        <f t="shared" si="193"/>
        <v>0.88454396003215907</v>
      </c>
    </row>
    <row r="195" spans="1:20" ht="24.95" customHeight="1">
      <c r="B195" s="64" t="s">
        <v>166</v>
      </c>
      <c r="C195" s="12">
        <f t="shared" ref="C195:D195" si="206">+C159+C171+C183</f>
        <v>52657000</v>
      </c>
      <c r="D195" s="12">
        <f t="shared" si="206"/>
        <v>54485408.219999999</v>
      </c>
      <c r="E195" s="12">
        <f t="shared" si="187"/>
        <v>-1828408.2199999988</v>
      </c>
      <c r="F195" s="13"/>
      <c r="G195" s="12">
        <f t="shared" ref="G195:H195" si="207">+G159+G171+G183</f>
        <v>0</v>
      </c>
      <c r="H195" s="12">
        <f t="shared" si="207"/>
        <v>0</v>
      </c>
      <c r="I195" s="12">
        <f t="shared" si="188"/>
        <v>0</v>
      </c>
      <c r="J195" s="12"/>
      <c r="K195" s="12">
        <f t="shared" ref="K195:L195" si="208">+K159+K171+K183</f>
        <v>0</v>
      </c>
      <c r="L195" s="12">
        <f t="shared" si="208"/>
        <v>0</v>
      </c>
      <c r="M195" s="12">
        <f t="shared" si="189"/>
        <v>0</v>
      </c>
      <c r="N195" s="13"/>
      <c r="O195" s="12">
        <f t="shared" si="190"/>
        <v>52657000</v>
      </c>
      <c r="P195" s="12">
        <f t="shared" si="191"/>
        <v>54485408.219999999</v>
      </c>
      <c r="Q195" s="14">
        <f t="shared" si="192"/>
        <v>-1828408.2199999988</v>
      </c>
      <c r="R195" s="17">
        <f t="shared" si="193"/>
        <v>1.0347229849782555</v>
      </c>
    </row>
    <row r="196" spans="1:20" ht="24.95" customHeight="1">
      <c r="B196" s="64" t="s">
        <v>167</v>
      </c>
      <c r="C196" s="12">
        <f t="shared" ref="C196:D196" si="209">+C160+C172+C184</f>
        <v>119013700</v>
      </c>
      <c r="D196" s="12">
        <f t="shared" si="209"/>
        <v>99129969.189999998</v>
      </c>
      <c r="E196" s="12">
        <f t="shared" si="187"/>
        <v>19883730.810000002</v>
      </c>
      <c r="F196" s="13"/>
      <c r="G196" s="12">
        <f t="shared" ref="G196:H196" si="210">+G160+G172+G184</f>
        <v>0</v>
      </c>
      <c r="H196" s="12">
        <f t="shared" si="210"/>
        <v>0</v>
      </c>
      <c r="I196" s="12">
        <f t="shared" si="188"/>
        <v>0</v>
      </c>
      <c r="J196" s="12"/>
      <c r="K196" s="12">
        <f t="shared" ref="K196:L196" si="211">+K160+K172+K184</f>
        <v>829766</v>
      </c>
      <c r="L196" s="12">
        <f t="shared" si="211"/>
        <v>702282.25</v>
      </c>
      <c r="M196" s="12">
        <f t="shared" si="189"/>
        <v>127483.75</v>
      </c>
      <c r="N196" s="13"/>
      <c r="O196" s="12">
        <f t="shared" si="190"/>
        <v>119843466</v>
      </c>
      <c r="P196" s="12">
        <f t="shared" si="191"/>
        <v>99832251.439999998</v>
      </c>
      <c r="Q196" s="14">
        <f t="shared" si="192"/>
        <v>20011214.560000002</v>
      </c>
      <c r="R196" s="17">
        <f t="shared" si="193"/>
        <v>0.83302206429844072</v>
      </c>
    </row>
    <row r="197" spans="1:20" ht="24.95" customHeight="1">
      <c r="B197" s="64" t="s">
        <v>168</v>
      </c>
      <c r="C197" s="12">
        <f t="shared" ref="C197:D197" si="212">+C161+C173+C185</f>
        <v>101532500</v>
      </c>
      <c r="D197" s="12">
        <f t="shared" si="212"/>
        <v>101518339.61</v>
      </c>
      <c r="E197" s="12">
        <f t="shared" si="187"/>
        <v>14160.390000000596</v>
      </c>
      <c r="F197" s="13"/>
      <c r="G197" s="12">
        <f t="shared" ref="G197:H197" si="213">+G161+G173+G185</f>
        <v>0</v>
      </c>
      <c r="H197" s="12">
        <f t="shared" si="213"/>
        <v>0</v>
      </c>
      <c r="I197" s="12">
        <f t="shared" si="188"/>
        <v>0</v>
      </c>
      <c r="J197" s="12"/>
      <c r="K197" s="12">
        <f t="shared" ref="K197:L197" si="214">+K161+K173+K185</f>
        <v>0</v>
      </c>
      <c r="L197" s="12">
        <f t="shared" si="214"/>
        <v>0</v>
      </c>
      <c r="M197" s="12">
        <f t="shared" si="189"/>
        <v>0</v>
      </c>
      <c r="N197" s="13"/>
      <c r="O197" s="12">
        <f t="shared" si="190"/>
        <v>101532500</v>
      </c>
      <c r="P197" s="12">
        <f t="shared" si="191"/>
        <v>101518339.61</v>
      </c>
      <c r="Q197" s="14">
        <f t="shared" si="192"/>
        <v>14160.390000000596</v>
      </c>
      <c r="R197" s="17">
        <f t="shared" si="193"/>
        <v>0.99986053342525794</v>
      </c>
    </row>
    <row r="198" spans="1:20" ht="24.95" customHeight="1">
      <c r="B198" s="64" t="s">
        <v>169</v>
      </c>
      <c r="C198" s="12">
        <f t="shared" ref="C198:D198" si="215">+C162+C174+C186</f>
        <v>105559747</v>
      </c>
      <c r="D198" s="12">
        <f t="shared" si="215"/>
        <v>103897954</v>
      </c>
      <c r="E198" s="12">
        <f t="shared" si="187"/>
        <v>1661793</v>
      </c>
      <c r="F198" s="13"/>
      <c r="G198" s="12">
        <f t="shared" ref="G198:H198" si="216">+G162+G174+G186</f>
        <v>0</v>
      </c>
      <c r="H198" s="12">
        <f t="shared" si="216"/>
        <v>0</v>
      </c>
      <c r="I198" s="12">
        <f t="shared" si="188"/>
        <v>0</v>
      </c>
      <c r="J198" s="12"/>
      <c r="K198" s="12">
        <f t="shared" ref="K198:L198" si="217">+K162+K174+K186</f>
        <v>153982</v>
      </c>
      <c r="L198" s="12">
        <f t="shared" si="217"/>
        <v>2783178.54</v>
      </c>
      <c r="M198" s="12">
        <f t="shared" si="189"/>
        <v>-2629196.54</v>
      </c>
      <c r="N198" s="13"/>
      <c r="O198" s="12">
        <f t="shared" si="190"/>
        <v>105713729</v>
      </c>
      <c r="P198" s="12">
        <f t="shared" si="191"/>
        <v>106681132.54000001</v>
      </c>
      <c r="Q198" s="14">
        <f t="shared" si="192"/>
        <v>-967403.54000000656</v>
      </c>
      <c r="R198" s="17">
        <f t="shared" si="193"/>
        <v>1.0091511627595693</v>
      </c>
    </row>
    <row r="199" spans="1:20" s="48" customFormat="1" ht="24.95" customHeight="1">
      <c r="B199" s="72" t="s">
        <v>197</v>
      </c>
      <c r="C199" s="32">
        <f>SUM(C190:C198)</f>
        <v>17947203382.498573</v>
      </c>
      <c r="D199" s="32">
        <f>SUM(D190:D198)</f>
        <v>9282458390.8199997</v>
      </c>
      <c r="E199" s="32">
        <f t="shared" si="187"/>
        <v>8664744991.6785736</v>
      </c>
      <c r="F199" s="33"/>
      <c r="G199" s="32">
        <f>SUM(G190:G198)</f>
        <v>1888389757.71</v>
      </c>
      <c r="H199" s="32">
        <f>SUM(H190:H198)</f>
        <v>1644484809.7500002</v>
      </c>
      <c r="I199" s="32">
        <f t="shared" si="188"/>
        <v>243904947.9599998</v>
      </c>
      <c r="J199" s="32"/>
      <c r="K199" s="32">
        <f>SUM(K190:K198)</f>
        <v>185706015.73999998</v>
      </c>
      <c r="L199" s="32">
        <f>SUM(L190:L198)</f>
        <v>198421248.56999999</v>
      </c>
      <c r="M199" s="32">
        <f t="shared" si="189"/>
        <v>-12715232.830000013</v>
      </c>
      <c r="N199" s="33"/>
      <c r="O199" s="32">
        <f t="shared" si="190"/>
        <v>20021299155.948574</v>
      </c>
      <c r="P199" s="32">
        <f t="shared" si="191"/>
        <v>11125364449.139999</v>
      </c>
      <c r="Q199" s="34">
        <f t="shared" si="192"/>
        <v>8895934706.8085747</v>
      </c>
      <c r="R199" s="65">
        <f t="shared" si="193"/>
        <v>0.55567645048820502</v>
      </c>
    </row>
    <row r="200" spans="1:20" s="48" customFormat="1" ht="24.95" customHeight="1">
      <c r="B200" s="72"/>
      <c r="C200" s="32"/>
      <c r="D200" s="32"/>
      <c r="E200" s="32"/>
      <c r="F200" s="33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17"/>
    </row>
    <row r="201" spans="1:20" ht="24.95" customHeight="1">
      <c r="B201" s="44" t="s">
        <v>163</v>
      </c>
      <c r="C201" s="32">
        <f>+C55+C103+C151+C199</f>
        <v>49005643605.748573</v>
      </c>
      <c r="D201" s="32">
        <f t="shared" ref="D201:E201" si="218">+D55+D103+D151+D199</f>
        <v>33120314997.807945</v>
      </c>
      <c r="E201" s="32">
        <f t="shared" si="218"/>
        <v>15885328607.940628</v>
      </c>
      <c r="F201" s="32">
        <f t="shared" ref="F201:J201" si="219">SUM(F9:F104)</f>
        <v>0</v>
      </c>
      <c r="G201" s="32">
        <f>+G55+G103+G151+G199</f>
        <v>3908813995.8299999</v>
      </c>
      <c r="H201" s="32">
        <f t="shared" ref="H201:I201" si="220">+H55+H103+H151+H199</f>
        <v>3593931774.5500002</v>
      </c>
      <c r="I201" s="32">
        <f t="shared" si="220"/>
        <v>314882221.27999991</v>
      </c>
      <c r="J201" s="32">
        <f t="shared" si="219"/>
        <v>0</v>
      </c>
      <c r="K201" s="32">
        <f>+K55+K103+K151+K199</f>
        <v>1521736423.9400001</v>
      </c>
      <c r="L201" s="32">
        <f t="shared" ref="L201:M201" si="221">+L55+L103+L151+L199</f>
        <v>1459380927.3199999</v>
      </c>
      <c r="M201" s="32">
        <f t="shared" si="221"/>
        <v>62355496.620000184</v>
      </c>
      <c r="N201" s="32">
        <f t="shared" ref="N201" si="222">+N104+N66+N61+N56</f>
        <v>0</v>
      </c>
      <c r="O201" s="32">
        <f>+O55+O103+O151+O199</f>
        <v>54436194025.518585</v>
      </c>
      <c r="P201" s="32">
        <f t="shared" ref="P201:Q201" si="223">+P55+P103+P151+P199</f>
        <v>38173627699.677948</v>
      </c>
      <c r="Q201" s="32">
        <f t="shared" si="223"/>
        <v>16262566325.840633</v>
      </c>
      <c r="R201" s="65">
        <f t="shared" ref="R201" si="224">+P201/O201</f>
        <v>0.70125453079586941</v>
      </c>
    </row>
    <row r="202" spans="1:20" ht="15" thickBot="1">
      <c r="B202" s="69"/>
      <c r="C202" s="52"/>
      <c r="D202" s="52"/>
      <c r="E202" s="52"/>
      <c r="F202" s="53"/>
      <c r="G202" s="54"/>
      <c r="H202" s="54"/>
      <c r="I202" s="54"/>
      <c r="J202" s="54"/>
      <c r="K202" s="54"/>
      <c r="L202" s="54"/>
      <c r="M202" s="54"/>
      <c r="N202" s="53"/>
      <c r="O202" s="54"/>
      <c r="P202" s="54"/>
      <c r="Q202" s="55"/>
      <c r="R202" s="56"/>
    </row>
    <row r="203" spans="1:20" ht="24.95" customHeight="1"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>
        <f>+Q201-'as of december'!T143</f>
        <v>0</v>
      </c>
    </row>
    <row r="204" spans="1:20" ht="24.95" customHeight="1">
      <c r="C204" s="58" t="s">
        <v>126</v>
      </c>
      <c r="G204" s="58" t="s">
        <v>127</v>
      </c>
      <c r="H204" s="30"/>
      <c r="K204" s="58" t="s">
        <v>128</v>
      </c>
      <c r="O204" s="13"/>
      <c r="P204" s="13"/>
      <c r="Q204" s="13"/>
    </row>
    <row r="205" spans="1:20" s="1" customFormat="1" ht="24.95" customHeight="1">
      <c r="A205" s="2"/>
      <c r="B205" s="57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26"/>
      <c r="P205" s="13"/>
      <c r="Q205" s="13"/>
      <c r="S205" s="2"/>
      <c r="T205" s="2"/>
    </row>
    <row r="206" spans="1:20" s="1" customFormat="1" ht="24.95" customHeight="1">
      <c r="A206" s="2"/>
      <c r="B206" s="57"/>
      <c r="C206" s="59" t="s">
        <v>129</v>
      </c>
      <c r="D206" s="2"/>
      <c r="E206" s="2"/>
      <c r="F206" s="2"/>
      <c r="G206" s="59" t="s">
        <v>130</v>
      </c>
      <c r="H206" s="2"/>
      <c r="I206" s="2"/>
      <c r="J206" s="2"/>
      <c r="K206" s="59" t="s">
        <v>300</v>
      </c>
      <c r="L206" s="2"/>
      <c r="M206" s="2"/>
      <c r="N206" s="2"/>
      <c r="O206" s="30"/>
      <c r="P206" s="30"/>
      <c r="Q206" s="30"/>
      <c r="S206" s="2"/>
      <c r="T206" s="2"/>
    </row>
    <row r="207" spans="1:20" s="1" customFormat="1" ht="17.25" customHeight="1">
      <c r="A207" s="2"/>
      <c r="B207" s="57"/>
      <c r="C207" s="58" t="s">
        <v>296</v>
      </c>
      <c r="D207" s="2"/>
      <c r="E207" s="2"/>
      <c r="F207" s="2"/>
      <c r="G207" s="58" t="s">
        <v>133</v>
      </c>
      <c r="H207" s="2"/>
      <c r="I207" s="2"/>
      <c r="J207" s="2"/>
      <c r="K207" s="58" t="s">
        <v>301</v>
      </c>
      <c r="L207" s="2"/>
      <c r="M207" s="2"/>
      <c r="N207" s="2"/>
      <c r="O207" s="2"/>
      <c r="P207" s="2"/>
      <c r="Q207" s="2"/>
      <c r="S207" s="2"/>
      <c r="T207" s="2"/>
    </row>
  </sheetData>
  <autoFilter ref="B7:R202"/>
  <mergeCells count="7">
    <mergeCell ref="R5:R6"/>
    <mergeCell ref="B4:Q4"/>
    <mergeCell ref="B5:B6"/>
    <mergeCell ref="C5:E5"/>
    <mergeCell ref="G5:I5"/>
    <mergeCell ref="K5:M5"/>
    <mergeCell ref="O5:Q5"/>
  </mergeCells>
  <pageMargins left="0.83" right="0" top="0.36" bottom="0.32" header="0.27" footer="0.17"/>
  <pageSetup paperSize="5" scale="60" orientation="landscape" r:id="rId1"/>
  <headerFooter>
    <oddFooter>&amp;R&amp;"-,Italic"&amp;8Page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B1:R35"/>
  <sheetViews>
    <sheetView zoomScale="75" zoomScaleNormal="75" workbookViewId="0">
      <pane xSplit="2" ySplit="6" topLeftCell="I19" activePane="bottomRight" state="frozen"/>
      <selection pane="topRight" activeCell="F1" sqref="F1"/>
      <selection pane="bottomLeft" activeCell="A7" sqref="A7"/>
      <selection pane="bottomRight" activeCell="Q33" sqref="Q33"/>
    </sheetView>
  </sheetViews>
  <sheetFormatPr defaultRowHeight="24.95" customHeight="1"/>
  <cols>
    <col min="1" max="1" width="10.42578125" style="2" customWidth="1"/>
    <col min="2" max="2" width="19.85546875" style="57" customWidth="1"/>
    <col min="3" max="3" width="19.7109375" style="2" customWidth="1"/>
    <col min="4" max="4" width="20.140625" style="2" customWidth="1"/>
    <col min="5" max="5" width="19.85546875" style="2" customWidth="1"/>
    <col min="6" max="6" width="0.7109375" style="2" customWidth="1"/>
    <col min="7" max="7" width="20.28515625" style="2" customWidth="1"/>
    <col min="8" max="8" width="18.5703125" style="2" customWidth="1"/>
    <col min="9" max="9" width="18.85546875" style="2" customWidth="1"/>
    <col min="10" max="10" width="0.5703125" style="2" customWidth="1"/>
    <col min="11" max="11" width="17.42578125" style="2" customWidth="1"/>
    <col min="12" max="12" width="18.5703125" style="2" customWidth="1"/>
    <col min="13" max="13" width="17.5703125" style="2" customWidth="1"/>
    <col min="14" max="14" width="0.7109375" style="2" customWidth="1"/>
    <col min="15" max="15" width="20.28515625" style="2" bestFit="1" customWidth="1"/>
    <col min="16" max="16" width="19.85546875" style="2" bestFit="1" customWidth="1"/>
    <col min="17" max="17" width="19" style="2" bestFit="1" customWidth="1"/>
    <col min="18" max="18" width="13.42578125" style="1" customWidth="1"/>
    <col min="19" max="19" width="9.140625" style="2"/>
    <col min="20" max="20" width="13.140625" style="2" bestFit="1" customWidth="1"/>
    <col min="21" max="16384" width="9.140625" style="2"/>
  </cols>
  <sheetData>
    <row r="1" spans="2:18" ht="18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2:18" ht="20.2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2:18" ht="18">
      <c r="B3" s="61" t="s">
        <v>305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2:18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2:18" ht="24.95" customHeight="1">
      <c r="B5" s="144"/>
      <c r="C5" s="140" t="s">
        <v>4</v>
      </c>
      <c r="D5" s="141"/>
      <c r="E5" s="142"/>
      <c r="F5" s="3"/>
      <c r="G5" s="140" t="s">
        <v>5</v>
      </c>
      <c r="H5" s="141"/>
      <c r="I5" s="142"/>
      <c r="J5" s="4"/>
      <c r="K5" s="140" t="s">
        <v>6</v>
      </c>
      <c r="L5" s="141"/>
      <c r="M5" s="142"/>
      <c r="N5" s="3"/>
      <c r="O5" s="140" t="s">
        <v>7</v>
      </c>
      <c r="P5" s="141"/>
      <c r="Q5" s="143"/>
      <c r="R5" s="127" t="s">
        <v>8</v>
      </c>
    </row>
    <row r="6" spans="2:18" s="8" customFormat="1" ht="28.5" customHeight="1" thickBot="1">
      <c r="B6" s="145"/>
      <c r="C6" s="5" t="s">
        <v>9</v>
      </c>
      <c r="D6" s="6" t="s">
        <v>10</v>
      </c>
      <c r="E6" s="5" t="s">
        <v>11</v>
      </c>
      <c r="F6" s="6"/>
      <c r="G6" s="5" t="s">
        <v>12</v>
      </c>
      <c r="H6" s="6" t="s">
        <v>10</v>
      </c>
      <c r="I6" s="5" t="s">
        <v>11</v>
      </c>
      <c r="J6" s="5"/>
      <c r="K6" s="5" t="s">
        <v>9</v>
      </c>
      <c r="L6" s="6" t="s">
        <v>10</v>
      </c>
      <c r="M6" s="5" t="s">
        <v>11</v>
      </c>
      <c r="N6" s="5"/>
      <c r="O6" s="6" t="s">
        <v>13</v>
      </c>
      <c r="P6" s="6" t="s">
        <v>10</v>
      </c>
      <c r="Q6" s="7" t="s">
        <v>11</v>
      </c>
      <c r="R6" s="128"/>
    </row>
    <row r="7" spans="2:18" ht="24.95" customHeight="1">
      <c r="B7" s="63"/>
      <c r="C7" s="12"/>
      <c r="D7" s="12"/>
      <c r="E7" s="12"/>
      <c r="F7" s="13"/>
      <c r="G7" s="12"/>
      <c r="H7" s="12"/>
      <c r="I7" s="12"/>
      <c r="J7" s="12"/>
      <c r="K7" s="12"/>
      <c r="L7" s="12"/>
      <c r="M7" s="12"/>
      <c r="N7" s="13"/>
      <c r="O7" s="12"/>
      <c r="P7" s="12"/>
      <c r="Q7" s="14"/>
      <c r="R7" s="15"/>
    </row>
    <row r="8" spans="2:18" ht="24.95" customHeight="1">
      <c r="B8" s="63"/>
      <c r="C8" s="12"/>
      <c r="D8" s="12"/>
      <c r="E8" s="12"/>
      <c r="F8" s="13"/>
      <c r="G8" s="12"/>
      <c r="H8" s="12"/>
      <c r="I8" s="12"/>
      <c r="J8" s="12"/>
      <c r="K8" s="12"/>
      <c r="L8" s="12"/>
      <c r="M8" s="12"/>
      <c r="N8" s="16"/>
      <c r="O8" s="12"/>
      <c r="P8" s="12"/>
      <c r="Q8" s="14"/>
      <c r="R8" s="17"/>
    </row>
    <row r="9" spans="2:18" ht="24.95" customHeight="1">
      <c r="B9" s="64" t="s">
        <v>150</v>
      </c>
      <c r="C9" s="12">
        <f>+'summary per cluster'!C19</f>
        <v>2114108140.9000001</v>
      </c>
      <c r="D9" s="12">
        <f>+'summary per cluster'!D19</f>
        <v>1561948809.73</v>
      </c>
      <c r="E9" s="12">
        <f>+C9-D9</f>
        <v>552159331.17000008</v>
      </c>
      <c r="F9" s="13"/>
      <c r="G9" s="12">
        <f>+'summary per cluster'!G19</f>
        <v>9712800</v>
      </c>
      <c r="H9" s="12">
        <f>+'summary per cluster'!H19</f>
        <v>8221191.4299999997</v>
      </c>
      <c r="I9" s="12">
        <f>+G9-H9</f>
        <v>1491608.5700000003</v>
      </c>
      <c r="J9" s="12"/>
      <c r="K9" s="12">
        <f>+'summary per cluster'!K19</f>
        <v>120248202</v>
      </c>
      <c r="L9" s="12">
        <f>+'summary per cluster'!L19</f>
        <v>111216096.23999999</v>
      </c>
      <c r="M9" s="12">
        <f>+K9-L9</f>
        <v>9032105.7600000054</v>
      </c>
      <c r="N9" s="13"/>
      <c r="O9" s="12">
        <f>+C9+G9+K9</f>
        <v>2244069142.9000001</v>
      </c>
      <c r="P9" s="12">
        <f>+D9+H9+L9</f>
        <v>1681386097.4000001</v>
      </c>
      <c r="Q9" s="14">
        <f>+O9-P9</f>
        <v>562683045.5</v>
      </c>
      <c r="R9" s="17">
        <f>+P9/O9</f>
        <v>0.74925770568154271</v>
      </c>
    </row>
    <row r="10" spans="2:18" ht="24.95" customHeight="1">
      <c r="B10" s="63" t="s">
        <v>151</v>
      </c>
      <c r="C10" s="12">
        <f>+'summary per cluster'!C31</f>
        <v>2401995060.8200002</v>
      </c>
      <c r="D10" s="12">
        <f>+'summary per cluster'!D31</f>
        <v>1834742449.5593753</v>
      </c>
      <c r="E10" s="12">
        <f>+E9+C10-D10</f>
        <v>1119411942.430625</v>
      </c>
      <c r="F10" s="13"/>
      <c r="G10" s="12">
        <f>+'summary per cluster'!G31</f>
        <v>139979617.90000001</v>
      </c>
      <c r="H10" s="12">
        <f>+'summary per cluster'!H31</f>
        <v>111900697.79000001</v>
      </c>
      <c r="I10" s="12">
        <f>+I9+G10-H10</f>
        <v>29570528.679999992</v>
      </c>
      <c r="J10" s="12"/>
      <c r="K10" s="12">
        <f>+'summary per cluster'!K31</f>
        <v>216579259.08000001</v>
      </c>
      <c r="L10" s="12">
        <f>+'summary per cluster'!L31</f>
        <v>131238290.34</v>
      </c>
      <c r="M10" s="12">
        <f>+M9+K10-L10</f>
        <v>94373074.50000003</v>
      </c>
      <c r="N10" s="13"/>
      <c r="O10" s="12">
        <f t="shared" ref="O10:P26" si="0">+C10+G10+K10</f>
        <v>2758553937.8000002</v>
      </c>
      <c r="P10" s="12">
        <f t="shared" si="0"/>
        <v>2077881437.6893752</v>
      </c>
      <c r="Q10" s="14">
        <f>+Q9+O10-P10</f>
        <v>1243355545.610625</v>
      </c>
      <c r="R10" s="17">
        <f t="shared" ref="R10:R29" si="1">+P10/O10</f>
        <v>0.75325024797105311</v>
      </c>
    </row>
    <row r="11" spans="2:18" ht="24.95" customHeight="1">
      <c r="B11" s="63" t="s">
        <v>152</v>
      </c>
      <c r="C11" s="12">
        <f>+'summary per cluster'!C43</f>
        <v>2887003105.9899998</v>
      </c>
      <c r="D11" s="12">
        <f>+'summary per cluster'!D43</f>
        <v>2928090848.4399986</v>
      </c>
      <c r="E11" s="12">
        <f>+E10+C11-D11</f>
        <v>1078324199.9806261</v>
      </c>
      <c r="F11" s="13"/>
      <c r="G11" s="12">
        <f>+'summary per cluster'!G43</f>
        <v>270556923.25999999</v>
      </c>
      <c r="H11" s="12">
        <f>+'summary per cluster'!H43</f>
        <v>311792399.60000002</v>
      </c>
      <c r="I11" s="12">
        <f>+I10+G11-H11</f>
        <v>-11664947.660000026</v>
      </c>
      <c r="J11" s="12"/>
      <c r="K11" s="12">
        <f>+'summary per cluster'!K43</f>
        <v>259229702.70999998</v>
      </c>
      <c r="L11" s="12">
        <f>+'summary per cluster'!L43</f>
        <v>365560465.85999995</v>
      </c>
      <c r="M11" s="12">
        <f>+M10+K11-L11</f>
        <v>-11957688.649999917</v>
      </c>
      <c r="N11" s="13"/>
      <c r="O11" s="12">
        <f t="shared" si="0"/>
        <v>3416789731.96</v>
      </c>
      <c r="P11" s="12">
        <f t="shared" si="0"/>
        <v>3605443713.8999987</v>
      </c>
      <c r="Q11" s="14">
        <f>+Q10+O11-P11</f>
        <v>1054701563.6706266</v>
      </c>
      <c r="R11" s="17">
        <f t="shared" si="1"/>
        <v>1.055213810839855</v>
      </c>
    </row>
    <row r="12" spans="2:18" ht="24.95" customHeight="1">
      <c r="B12" s="18" t="s">
        <v>153</v>
      </c>
      <c r="C12" s="32">
        <f>SUM(C9:C11)</f>
        <v>7403106307.71</v>
      </c>
      <c r="D12" s="32">
        <f>SUM(D9:D11)</f>
        <v>6324782107.7293739</v>
      </c>
      <c r="E12" s="32">
        <f>+C12-D12</f>
        <v>1078324199.9806261</v>
      </c>
      <c r="F12" s="13"/>
      <c r="G12" s="32">
        <f>SUM(G9:G11)</f>
        <v>420249341.15999997</v>
      </c>
      <c r="H12" s="32">
        <f>SUM(H9:H11)</f>
        <v>431914288.82000005</v>
      </c>
      <c r="I12" s="32">
        <f>+G12-H12</f>
        <v>-11664947.660000086</v>
      </c>
      <c r="J12" s="12"/>
      <c r="K12" s="32">
        <f>SUM(K9:K11)</f>
        <v>596057163.78999996</v>
      </c>
      <c r="L12" s="32">
        <f>SUM(L9:L11)</f>
        <v>608014852.43999994</v>
      </c>
      <c r="M12" s="32">
        <f>+K12-L12</f>
        <v>-11957688.649999976</v>
      </c>
      <c r="N12" s="13"/>
      <c r="O12" s="32">
        <f t="shared" si="0"/>
        <v>8419412812.6599998</v>
      </c>
      <c r="P12" s="32">
        <f t="shared" si="0"/>
        <v>7364711248.9893732</v>
      </c>
      <c r="Q12" s="34">
        <f t="shared" ref="Q12" si="2">+O12-P12</f>
        <v>1054701563.6706266</v>
      </c>
      <c r="R12" s="65">
        <f t="shared" si="1"/>
        <v>0.87472979563554532</v>
      </c>
    </row>
    <row r="13" spans="2:18" ht="24.95" customHeight="1">
      <c r="B13" s="18"/>
      <c r="C13" s="12"/>
      <c r="D13" s="12"/>
      <c r="E13" s="12"/>
      <c r="F13" s="13"/>
      <c r="G13" s="12"/>
      <c r="H13" s="12"/>
      <c r="I13" s="12"/>
      <c r="J13" s="12"/>
      <c r="K13" s="12"/>
      <c r="L13" s="12"/>
      <c r="M13" s="12"/>
      <c r="N13" s="13"/>
      <c r="O13" s="12"/>
      <c r="P13" s="12"/>
      <c r="Q13" s="14"/>
      <c r="R13" s="17"/>
    </row>
    <row r="14" spans="2:18" ht="24.95" customHeight="1">
      <c r="B14" s="63" t="s">
        <v>154</v>
      </c>
      <c r="C14" s="12">
        <f>+'summary per cluster'!C67</f>
        <v>2835870951.1300001</v>
      </c>
      <c r="D14" s="12">
        <f>+'summary per cluster'!D67</f>
        <v>1779264195.55</v>
      </c>
      <c r="E14" s="12">
        <f t="shared" ref="E14:E24" si="3">+C14-D14</f>
        <v>1056606755.5800002</v>
      </c>
      <c r="F14" s="13"/>
      <c r="G14" s="12">
        <f>+'summary per cluster'!G67</f>
        <v>93810225</v>
      </c>
      <c r="H14" s="12">
        <f>+'summary per cluster'!H67</f>
        <v>76471735.150000006</v>
      </c>
      <c r="I14" s="12">
        <f t="shared" ref="I14:I24" si="4">+G14-H14</f>
        <v>17338489.849999994</v>
      </c>
      <c r="J14" s="12"/>
      <c r="K14" s="12">
        <f>+'summary per cluster'!K67</f>
        <v>177005641.94</v>
      </c>
      <c r="L14" s="12">
        <f>+'summary per cluster'!L67</f>
        <v>80506915.310000002</v>
      </c>
      <c r="M14" s="12">
        <f t="shared" ref="M14:M24" si="5">+K14-L14</f>
        <v>96498726.629999995</v>
      </c>
      <c r="N14" s="13"/>
      <c r="O14" s="12">
        <f t="shared" si="0"/>
        <v>3106686818.0700002</v>
      </c>
      <c r="P14" s="12">
        <f t="shared" si="0"/>
        <v>1936242846.01</v>
      </c>
      <c r="Q14" s="14">
        <f t="shared" ref="Q14:Q24" si="6">+O14-P14</f>
        <v>1170443972.0600002</v>
      </c>
      <c r="R14" s="17">
        <f t="shared" si="1"/>
        <v>0.62325009226802996</v>
      </c>
    </row>
    <row r="15" spans="2:18" ht="24.95" customHeight="1">
      <c r="B15" s="66" t="s">
        <v>155</v>
      </c>
      <c r="C15" s="12">
        <f>+'summary per cluster'!C79</f>
        <v>3297820520.2900004</v>
      </c>
      <c r="D15" s="12">
        <f>+'summary per cluster'!D79</f>
        <v>2811760344.2699995</v>
      </c>
      <c r="E15" s="12">
        <f>+E14+C15-D15</f>
        <v>1542666931.6000013</v>
      </c>
      <c r="F15" s="13"/>
      <c r="G15" s="12">
        <f>+'summary per cluster'!G79</f>
        <v>405827875.05000001</v>
      </c>
      <c r="H15" s="12">
        <f>+'summary per cluster'!H79</f>
        <v>238902716.52999997</v>
      </c>
      <c r="I15" s="12">
        <f>+I14+G15-H15</f>
        <v>184263648.37</v>
      </c>
      <c r="J15" s="12"/>
      <c r="K15" s="12">
        <f>+'summary per cluster'!K79</f>
        <v>125277543.06999999</v>
      </c>
      <c r="L15" s="12">
        <f>+'summary per cluster'!L79</f>
        <v>90615914.950000003</v>
      </c>
      <c r="M15" s="12">
        <f>+M14+K15-L15</f>
        <v>131160354.74999999</v>
      </c>
      <c r="N15" s="13"/>
      <c r="O15" s="12">
        <f t="shared" si="0"/>
        <v>3828925938.4100008</v>
      </c>
      <c r="P15" s="12">
        <f t="shared" si="0"/>
        <v>3141278975.749999</v>
      </c>
      <c r="Q15" s="14">
        <f>+Q14+O15-P15</f>
        <v>1858090934.7200022</v>
      </c>
      <c r="R15" s="17">
        <f t="shared" si="1"/>
        <v>0.82040734824305483</v>
      </c>
    </row>
    <row r="16" spans="2:18" ht="21.75" customHeight="1">
      <c r="B16" s="66" t="s">
        <v>156</v>
      </c>
      <c r="C16" s="12">
        <f>+'summary per cluster'!C91</f>
        <v>3261025420.4099998</v>
      </c>
      <c r="D16" s="12">
        <f>+'summary per cluster'!D91</f>
        <v>3213906308.7599998</v>
      </c>
      <c r="E16" s="12">
        <f>+E15+C16-D16</f>
        <v>1589786043.2500014</v>
      </c>
      <c r="F16" s="13"/>
      <c r="G16" s="12">
        <f>+'summary per cluster'!G91</f>
        <v>180193772.56</v>
      </c>
      <c r="H16" s="12">
        <f>+'summary per cluster'!H91</f>
        <v>360799766.91999996</v>
      </c>
      <c r="I16" s="12">
        <f>+I15+G16-H16</f>
        <v>3657654.0100000501</v>
      </c>
      <c r="J16" s="12"/>
      <c r="K16" s="12">
        <f>+'summary per cluster'!K91</f>
        <v>104863181.2</v>
      </c>
      <c r="L16" s="12">
        <f>+'summary per cluster'!L91</f>
        <v>235351525.61000001</v>
      </c>
      <c r="M16" s="12">
        <f>+M15+K16-L16</f>
        <v>672010.33999997377</v>
      </c>
      <c r="N16" s="13"/>
      <c r="O16" s="12">
        <f t="shared" si="0"/>
        <v>3546082374.1699996</v>
      </c>
      <c r="P16" s="12">
        <f t="shared" si="0"/>
        <v>3810057601.29</v>
      </c>
      <c r="Q16" s="14">
        <f>+Q15+O16-P16</f>
        <v>1594115707.6000013</v>
      </c>
      <c r="R16" s="17">
        <f t="shared" si="1"/>
        <v>1.0744413691692052</v>
      </c>
    </row>
    <row r="17" spans="2:18" ht="27" customHeight="1">
      <c r="B17" s="18" t="s">
        <v>153</v>
      </c>
      <c r="C17" s="32">
        <f>SUM(C14:C16)</f>
        <v>9394716891.8299999</v>
      </c>
      <c r="D17" s="32">
        <f t="shared" ref="D17:P17" si="7">SUM(D14:D16)</f>
        <v>7804930848.5799999</v>
      </c>
      <c r="E17" s="32">
        <f>+C17-D17</f>
        <v>1589786043.25</v>
      </c>
      <c r="F17" s="32">
        <f t="shared" si="7"/>
        <v>0</v>
      </c>
      <c r="G17" s="32">
        <f t="shared" si="7"/>
        <v>679831872.61000001</v>
      </c>
      <c r="H17" s="32">
        <f t="shared" si="7"/>
        <v>676174218.5999999</v>
      </c>
      <c r="I17" s="32">
        <f>+G17-H17</f>
        <v>3657654.0100001097</v>
      </c>
      <c r="J17" s="32">
        <f t="shared" si="7"/>
        <v>0</v>
      </c>
      <c r="K17" s="32">
        <f t="shared" si="7"/>
        <v>407146366.20999998</v>
      </c>
      <c r="L17" s="32">
        <f t="shared" si="7"/>
        <v>406474355.87</v>
      </c>
      <c r="M17" s="32">
        <f>+K17-L17</f>
        <v>672010.33999997377</v>
      </c>
      <c r="N17" s="32">
        <f t="shared" si="7"/>
        <v>0</v>
      </c>
      <c r="O17" s="32">
        <f t="shared" si="7"/>
        <v>10481695130.650002</v>
      </c>
      <c r="P17" s="32">
        <f t="shared" si="7"/>
        <v>8887579423.0499992</v>
      </c>
      <c r="Q17" s="32">
        <f>+O17-P17</f>
        <v>1594115707.6000023</v>
      </c>
      <c r="R17" s="65">
        <f t="shared" si="1"/>
        <v>0.84791432227993579</v>
      </c>
    </row>
    <row r="18" spans="2:18" ht="27" customHeight="1">
      <c r="B18" s="66"/>
      <c r="C18" s="12"/>
      <c r="D18" s="12"/>
      <c r="E18" s="12"/>
      <c r="F18" s="13"/>
      <c r="G18" s="12"/>
      <c r="H18" s="12"/>
      <c r="I18" s="12"/>
      <c r="J18" s="12"/>
      <c r="K18" s="12"/>
      <c r="L18" s="12"/>
      <c r="M18" s="12"/>
      <c r="N18" s="13"/>
      <c r="O18" s="12"/>
      <c r="P18" s="12"/>
      <c r="Q18" s="14"/>
      <c r="R18" s="17"/>
    </row>
    <row r="19" spans="2:18" ht="27" customHeight="1">
      <c r="B19" s="67" t="s">
        <v>157</v>
      </c>
      <c r="C19" s="12">
        <f>+'summary per cluster'!C115</f>
        <v>5576913021.8800001</v>
      </c>
      <c r="D19" s="12">
        <f>+'summary per cluster'!D115</f>
        <v>2124972477.4900002</v>
      </c>
      <c r="E19" s="12">
        <f t="shared" si="3"/>
        <v>3451940544.3899999</v>
      </c>
      <c r="F19" s="13"/>
      <c r="G19" s="12">
        <f>+'summary per cluster'!G115</f>
        <v>232341860.80000001</v>
      </c>
      <c r="H19" s="12">
        <f>+'summary per cluster'!H115</f>
        <v>127801334.13</v>
      </c>
      <c r="I19" s="12">
        <f t="shared" si="4"/>
        <v>104540526.67000002</v>
      </c>
      <c r="J19" s="12"/>
      <c r="K19" s="12">
        <f>+'summary per cluster'!K115</f>
        <v>85675907.38000001</v>
      </c>
      <c r="L19" s="12">
        <f>+'summary per cluster'!L115</f>
        <v>43100165.270000003</v>
      </c>
      <c r="M19" s="12">
        <f t="shared" si="5"/>
        <v>42575742.110000007</v>
      </c>
      <c r="N19" s="13"/>
      <c r="O19" s="12">
        <f t="shared" si="0"/>
        <v>5894930790.0600004</v>
      </c>
      <c r="P19" s="12">
        <f t="shared" si="0"/>
        <v>2295873976.8900003</v>
      </c>
      <c r="Q19" s="14">
        <f t="shared" si="6"/>
        <v>3599056813.1700001</v>
      </c>
      <c r="R19" s="17">
        <f t="shared" si="1"/>
        <v>0.38946580692029331</v>
      </c>
    </row>
    <row r="20" spans="2:18" ht="27" customHeight="1">
      <c r="B20" s="66" t="s">
        <v>158</v>
      </c>
      <c r="C20" s="12">
        <f>+'summary per cluster'!C127</f>
        <v>5005766325.3499994</v>
      </c>
      <c r="D20" s="12">
        <f>+'summary per cluster'!D127</f>
        <v>2247188370.6599998</v>
      </c>
      <c r="E20" s="12">
        <f>+E19+C20-D20</f>
        <v>6210518499.0799999</v>
      </c>
      <c r="F20" s="13"/>
      <c r="G20" s="12">
        <f>+'summary per cluster'!G127</f>
        <v>274134294</v>
      </c>
      <c r="H20" s="12">
        <f>+'summary per cluster'!H127</f>
        <v>129865202.43000001</v>
      </c>
      <c r="I20" s="12">
        <f>+I19+G20-H20</f>
        <v>248809618.24000001</v>
      </c>
      <c r="J20" s="12"/>
      <c r="K20" s="12">
        <f>+'summary per cluster'!K127</f>
        <v>147626249.61000001</v>
      </c>
      <c r="L20" s="12">
        <f>+'summary per cluster'!L127</f>
        <v>72968201.379999995</v>
      </c>
      <c r="M20" s="12">
        <f>+M19+K20-L20</f>
        <v>117233790.34000003</v>
      </c>
      <c r="N20" s="13"/>
      <c r="O20" s="12">
        <f t="shared" si="0"/>
        <v>5427526868.9599991</v>
      </c>
      <c r="P20" s="12">
        <f t="shared" si="0"/>
        <v>2450021774.4699998</v>
      </c>
      <c r="Q20" s="12">
        <f>+Q19+O20-P20</f>
        <v>6576561907.6599998</v>
      </c>
      <c r="R20" s="17">
        <f t="shared" si="1"/>
        <v>0.45140665972225086</v>
      </c>
    </row>
    <row r="21" spans="2:18" ht="24.95" customHeight="1">
      <c r="B21" s="66" t="s">
        <v>159</v>
      </c>
      <c r="C21" s="12">
        <f>+'summary per cluster'!C139</f>
        <v>3677937676.48</v>
      </c>
      <c r="D21" s="12">
        <f>+'summary per cluster'!D139</f>
        <v>5335982802.5285702</v>
      </c>
      <c r="E21" s="121">
        <f>+E20+C21-D21</f>
        <v>4552473373.0314293</v>
      </c>
      <c r="F21" s="13"/>
      <c r="G21" s="12">
        <f>+'summary per cluster'!G139</f>
        <v>413866869.55000001</v>
      </c>
      <c r="H21" s="12">
        <f>+'summary per cluster'!H139</f>
        <v>583691920.81999993</v>
      </c>
      <c r="I21" s="121">
        <f>+I20+G21-H21</f>
        <v>78984566.970000029</v>
      </c>
      <c r="J21" s="12"/>
      <c r="K21" s="12">
        <f>+'summary per cluster'!K139</f>
        <v>99524721.210000008</v>
      </c>
      <c r="L21" s="12">
        <f>+'summary per cluster'!L139</f>
        <v>130402103.78999999</v>
      </c>
      <c r="M21" s="121">
        <f>+M20+K21-L21</f>
        <v>86356407.76000005</v>
      </c>
      <c r="N21" s="13"/>
      <c r="O21" s="12">
        <f t="shared" si="0"/>
        <v>4191329267.2400002</v>
      </c>
      <c r="P21" s="12">
        <f t="shared" si="0"/>
        <v>6050076827.1385698</v>
      </c>
      <c r="Q21" s="122">
        <f>+Q20+O21-P21</f>
        <v>4717814347.7614298</v>
      </c>
      <c r="R21" s="17">
        <f t="shared" si="1"/>
        <v>1.4434744782345768</v>
      </c>
    </row>
    <row r="22" spans="2:18" ht="24.95" customHeight="1">
      <c r="B22" s="66" t="s">
        <v>153</v>
      </c>
      <c r="C22" s="32">
        <f>SUM(C19:C21)</f>
        <v>14260617023.709999</v>
      </c>
      <c r="D22" s="32">
        <f t="shared" ref="D22:P22" si="8">SUM(D19:D21)</f>
        <v>9708143650.6785698</v>
      </c>
      <c r="E22" s="32">
        <f>+C22-D22</f>
        <v>4552473373.0314293</v>
      </c>
      <c r="F22" s="32">
        <f t="shared" si="8"/>
        <v>0</v>
      </c>
      <c r="G22" s="32">
        <f t="shared" si="8"/>
        <v>920343024.35000002</v>
      </c>
      <c r="H22" s="32">
        <f t="shared" si="8"/>
        <v>841358457.37999988</v>
      </c>
      <c r="I22" s="32">
        <f>+G22-H22</f>
        <v>78984566.970000148</v>
      </c>
      <c r="J22" s="32">
        <f t="shared" si="8"/>
        <v>0</v>
      </c>
      <c r="K22" s="32">
        <f t="shared" si="8"/>
        <v>332826878.20000005</v>
      </c>
      <c r="L22" s="32">
        <f t="shared" si="8"/>
        <v>246470470.44</v>
      </c>
      <c r="M22" s="32">
        <f>+K22-L22</f>
        <v>86356407.76000005</v>
      </c>
      <c r="N22" s="32">
        <f t="shared" si="8"/>
        <v>0</v>
      </c>
      <c r="O22" s="32">
        <f t="shared" si="8"/>
        <v>15513786926.26</v>
      </c>
      <c r="P22" s="32">
        <f t="shared" si="8"/>
        <v>10795972578.498569</v>
      </c>
      <c r="Q22" s="34">
        <f>+O22-P22</f>
        <v>4717814347.7614307</v>
      </c>
      <c r="R22" s="65">
        <f t="shared" si="1"/>
        <v>0.69589537550141012</v>
      </c>
    </row>
    <row r="23" spans="2:18" ht="24.95" customHeight="1">
      <c r="B23" s="66"/>
      <c r="C23" s="12"/>
      <c r="D23" s="12"/>
      <c r="E23" s="12"/>
      <c r="F23" s="13"/>
      <c r="G23" s="12"/>
      <c r="H23" s="12"/>
      <c r="I23" s="12"/>
      <c r="J23" s="12"/>
      <c r="K23" s="12"/>
      <c r="L23" s="12"/>
      <c r="M23" s="12"/>
      <c r="N23" s="13"/>
      <c r="O23" s="12"/>
      <c r="P23" s="12"/>
      <c r="Q23" s="14"/>
      <c r="R23" s="17"/>
    </row>
    <row r="24" spans="2:18" ht="24.95" customHeight="1">
      <c r="B24" s="63" t="s">
        <v>160</v>
      </c>
      <c r="C24" s="12">
        <f>+'summary per cluster'!C163</f>
        <v>6727746715.5285711</v>
      </c>
      <c r="D24" s="12">
        <f>+'summary per cluster'!D163</f>
        <v>1949694166.29</v>
      </c>
      <c r="E24" s="12">
        <f t="shared" si="3"/>
        <v>4778052549.2385712</v>
      </c>
      <c r="F24" s="13"/>
      <c r="G24" s="12">
        <f>+'summary per cluster'!G163</f>
        <v>509955878.75</v>
      </c>
      <c r="H24" s="12">
        <f>+'summary per cluster'!H163</f>
        <v>176765453.47999999</v>
      </c>
      <c r="I24" s="12">
        <f t="shared" si="4"/>
        <v>333190425.26999998</v>
      </c>
      <c r="J24" s="12"/>
      <c r="K24" s="12">
        <f>+'summary per cluster'!K163</f>
        <v>57288964.170000002</v>
      </c>
      <c r="L24" s="12">
        <f>+'summary per cluster'!L163</f>
        <v>27535591.439999998</v>
      </c>
      <c r="M24" s="12">
        <f t="shared" si="5"/>
        <v>29753372.730000004</v>
      </c>
      <c r="N24" s="13"/>
      <c r="O24" s="12">
        <f t="shared" si="0"/>
        <v>7294991558.4485712</v>
      </c>
      <c r="P24" s="12">
        <f t="shared" si="0"/>
        <v>2153995211.21</v>
      </c>
      <c r="Q24" s="14">
        <f t="shared" si="6"/>
        <v>5140996347.2385712</v>
      </c>
      <c r="R24" s="17">
        <f t="shared" si="1"/>
        <v>0.29527041860869419</v>
      </c>
    </row>
    <row r="25" spans="2:18" ht="24.95" customHeight="1">
      <c r="B25" s="63" t="s">
        <v>161</v>
      </c>
      <c r="C25" s="12">
        <f>+'summary per cluster'!C175</f>
        <v>6577791508.04</v>
      </c>
      <c r="D25" s="12">
        <f>+'summary per cluster'!D175</f>
        <v>2388913965.4999995</v>
      </c>
      <c r="E25" s="12">
        <f>+E24+C25-D25</f>
        <v>8966930091.7785721</v>
      </c>
      <c r="F25" s="13"/>
      <c r="G25" s="12">
        <f>+'summary per cluster'!G175</f>
        <v>359264074.86000001</v>
      </c>
      <c r="H25" s="12">
        <f>+'summary per cluster'!H175</f>
        <v>267819488.98000002</v>
      </c>
      <c r="I25" s="12">
        <f>+I24+G25-H25</f>
        <v>424635011.14999998</v>
      </c>
      <c r="J25" s="12"/>
      <c r="K25" s="12">
        <f>+'summary per cluster'!K175</f>
        <v>40127469.07</v>
      </c>
      <c r="L25" s="12">
        <f>+'summary per cluster'!L175</f>
        <v>54072597.359999999</v>
      </c>
      <c r="M25" s="12">
        <f>+M24+K25-L25</f>
        <v>15808244.440000013</v>
      </c>
      <c r="N25" s="13"/>
      <c r="O25" s="12">
        <f t="shared" si="0"/>
        <v>6977183051.9699993</v>
      </c>
      <c r="P25" s="12">
        <f t="shared" si="0"/>
        <v>2710806051.8399997</v>
      </c>
      <c r="Q25" s="14">
        <f>+Q24+O25-P25</f>
        <v>9407373347.3685703</v>
      </c>
      <c r="R25" s="17">
        <f t="shared" si="1"/>
        <v>0.38852442764485112</v>
      </c>
    </row>
    <row r="26" spans="2:18" ht="28.5" customHeight="1">
      <c r="B26" s="67" t="s">
        <v>162</v>
      </c>
      <c r="C26" s="12">
        <f>+'summary per cluster'!C187</f>
        <v>4641665158.9300003</v>
      </c>
      <c r="D26" s="12">
        <f>+'summary per cluster'!D187</f>
        <v>4943850259.0299997</v>
      </c>
      <c r="E26" s="12">
        <f>+E25+C26-D26</f>
        <v>8664744991.6785736</v>
      </c>
      <c r="F26" s="13"/>
      <c r="G26" s="12">
        <f>+'summary per cluster'!G187</f>
        <v>1019169804.1</v>
      </c>
      <c r="H26" s="12">
        <f>+'summary per cluster'!H187</f>
        <v>1199899867.29</v>
      </c>
      <c r="I26" s="12">
        <f>+I25+G26-H26</f>
        <v>243904947.96000004</v>
      </c>
      <c r="J26" s="12"/>
      <c r="K26" s="12">
        <f>+'summary per cluster'!K187</f>
        <v>88289582.5</v>
      </c>
      <c r="L26" s="12">
        <f>+'summary per cluster'!L187</f>
        <v>116813059.77</v>
      </c>
      <c r="M26" s="12">
        <f>+M25+K26-L26</f>
        <v>-12715232.829999983</v>
      </c>
      <c r="N26" s="13"/>
      <c r="O26" s="12">
        <f t="shared" si="0"/>
        <v>5749124545.5300007</v>
      </c>
      <c r="P26" s="12">
        <f t="shared" si="0"/>
        <v>6260563186.0900002</v>
      </c>
      <c r="Q26" s="14">
        <f>+Q25+O26-P26</f>
        <v>8895934706.8085709</v>
      </c>
      <c r="R26" s="17">
        <f t="shared" si="1"/>
        <v>1.088959394862588</v>
      </c>
    </row>
    <row r="27" spans="2:18" ht="24.95" customHeight="1">
      <c r="B27" s="66" t="s">
        <v>153</v>
      </c>
      <c r="C27" s="32">
        <f>SUM(C24:C26)</f>
        <v>17947203382.498573</v>
      </c>
      <c r="D27" s="32">
        <f t="shared" ref="D27:P27" si="9">SUM(D24:D26)</f>
        <v>9282458390.8199997</v>
      </c>
      <c r="E27" s="32">
        <f>+C27-D27</f>
        <v>8664744991.6785736</v>
      </c>
      <c r="F27" s="32">
        <f t="shared" si="9"/>
        <v>0</v>
      </c>
      <c r="G27" s="32">
        <f t="shared" si="9"/>
        <v>1888389757.71</v>
      </c>
      <c r="H27" s="32">
        <f t="shared" si="9"/>
        <v>1644484809.75</v>
      </c>
      <c r="I27" s="32">
        <f>+G27-H27</f>
        <v>243904947.96000004</v>
      </c>
      <c r="J27" s="32">
        <f t="shared" si="9"/>
        <v>0</v>
      </c>
      <c r="K27" s="32">
        <f t="shared" si="9"/>
        <v>185706015.74000001</v>
      </c>
      <c r="L27" s="32">
        <f t="shared" si="9"/>
        <v>198421248.56999999</v>
      </c>
      <c r="M27" s="32">
        <f>+K27-L27</f>
        <v>-12715232.829999983</v>
      </c>
      <c r="N27" s="32">
        <f t="shared" si="9"/>
        <v>0</v>
      </c>
      <c r="O27" s="32">
        <f t="shared" si="9"/>
        <v>20021299155.94857</v>
      </c>
      <c r="P27" s="32">
        <f t="shared" si="9"/>
        <v>11125364449.139999</v>
      </c>
      <c r="Q27" s="34">
        <f>+O27-P27</f>
        <v>8895934706.8085709</v>
      </c>
      <c r="R27" s="65">
        <f t="shared" si="1"/>
        <v>0.55567645048820513</v>
      </c>
    </row>
    <row r="28" spans="2:18" ht="24.95" customHeight="1">
      <c r="B28" s="67"/>
      <c r="C28" s="12"/>
      <c r="D28" s="12"/>
      <c r="E28" s="12"/>
      <c r="F28" s="13"/>
      <c r="G28" s="12"/>
      <c r="H28" s="12"/>
      <c r="I28" s="12"/>
      <c r="J28" s="12"/>
      <c r="K28" s="12"/>
      <c r="L28" s="12"/>
      <c r="M28" s="12"/>
      <c r="N28" s="13"/>
      <c r="O28" s="12"/>
      <c r="P28" s="12"/>
      <c r="Q28" s="68"/>
      <c r="R28" s="17"/>
    </row>
    <row r="29" spans="2:18" s="48" customFormat="1" ht="24.95" customHeight="1">
      <c r="B29" s="44" t="s">
        <v>163</v>
      </c>
      <c r="C29" s="32">
        <f>+C27+C22+C17+C12</f>
        <v>49005643605.748573</v>
      </c>
      <c r="D29" s="32">
        <f>+D27+D22+D17+D12</f>
        <v>33120314997.807941</v>
      </c>
      <c r="E29" s="32">
        <f>+E27+E22+E17+E12</f>
        <v>15885328607.940628</v>
      </c>
      <c r="F29" s="32">
        <f t="shared" ref="F29:J29" si="10">SUM(F9:F27)</f>
        <v>0</v>
      </c>
      <c r="G29" s="32">
        <f t="shared" ref="G29:I29" si="11">+G27+G22+G17+G12</f>
        <v>3908813995.8299999</v>
      </c>
      <c r="H29" s="32">
        <f t="shared" si="11"/>
        <v>3593931774.5500002</v>
      </c>
      <c r="I29" s="32">
        <f t="shared" si="11"/>
        <v>314882221.28000021</v>
      </c>
      <c r="J29" s="32">
        <f t="shared" si="10"/>
        <v>0</v>
      </c>
      <c r="K29" s="32">
        <f t="shared" ref="K29:Q29" si="12">+K27+K22+K17+K12</f>
        <v>1521736423.9400001</v>
      </c>
      <c r="L29" s="32">
        <f t="shared" si="12"/>
        <v>1459380927.3199999</v>
      </c>
      <c r="M29" s="32">
        <f t="shared" si="12"/>
        <v>62355496.620000064</v>
      </c>
      <c r="N29" s="32">
        <f t="shared" si="12"/>
        <v>0</v>
      </c>
      <c r="O29" s="32">
        <f>+O27+O22+O17+O12</f>
        <v>54436194025.51857</v>
      </c>
      <c r="P29" s="32">
        <f t="shared" si="12"/>
        <v>38173627699.67794</v>
      </c>
      <c r="Q29" s="32">
        <f t="shared" si="12"/>
        <v>16262566325.84063</v>
      </c>
      <c r="R29" s="65">
        <f t="shared" si="1"/>
        <v>0.70125453079586952</v>
      </c>
    </row>
    <row r="30" spans="2:18" ht="15" thickBot="1">
      <c r="B30" s="69"/>
      <c r="C30" s="52"/>
      <c r="D30" s="52"/>
      <c r="E30" s="52"/>
      <c r="F30" s="53"/>
      <c r="G30" s="54"/>
      <c r="H30" s="54"/>
      <c r="I30" s="54"/>
      <c r="J30" s="54"/>
      <c r="K30" s="54"/>
      <c r="L30" s="54"/>
      <c r="M30" s="54"/>
      <c r="N30" s="53"/>
      <c r="O30" s="54"/>
      <c r="P30" s="54"/>
      <c r="Q30" s="55"/>
      <c r="R30" s="56"/>
    </row>
    <row r="31" spans="2:18" ht="24.95" customHeigh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>
        <f>+Q29-'summary per cluster'!Q201</f>
        <v>0</v>
      </c>
    </row>
    <row r="32" spans="2:18" ht="24.95" customHeight="1">
      <c r="C32" s="58" t="s">
        <v>126</v>
      </c>
      <c r="G32" s="58" t="s">
        <v>127</v>
      </c>
      <c r="H32" s="30"/>
      <c r="K32" s="58" t="s">
        <v>128</v>
      </c>
      <c r="O32" s="13"/>
      <c r="P32" s="13"/>
      <c r="Q32" s="13"/>
    </row>
    <row r="33" spans="3:17" ht="24.95" customHeight="1">
      <c r="O33" s="13"/>
      <c r="P33" s="13"/>
      <c r="Q33" s="126"/>
    </row>
    <row r="34" spans="3:17" ht="24.95" customHeight="1">
      <c r="C34" s="59" t="s">
        <v>129</v>
      </c>
      <c r="G34" s="59" t="s">
        <v>130</v>
      </c>
      <c r="K34" s="59" t="s">
        <v>300</v>
      </c>
      <c r="O34" s="30"/>
      <c r="P34" s="30"/>
      <c r="Q34" s="30"/>
    </row>
    <row r="35" spans="3:17" ht="17.25" customHeight="1">
      <c r="C35" s="58" t="s">
        <v>296</v>
      </c>
      <c r="G35" s="58" t="s">
        <v>133</v>
      </c>
      <c r="K35" s="58" t="s">
        <v>301</v>
      </c>
    </row>
  </sheetData>
  <autoFilter ref="B7:R30"/>
  <mergeCells count="7">
    <mergeCell ref="R5:R6"/>
    <mergeCell ref="B4:Q4"/>
    <mergeCell ref="B5:B6"/>
    <mergeCell ref="C5:E5"/>
    <mergeCell ref="G5:I5"/>
    <mergeCell ref="K5:M5"/>
    <mergeCell ref="O5:Q5"/>
  </mergeCells>
  <pageMargins left="0.75" right="0" top="0.36" bottom="0.3" header="0.27" footer="0.17"/>
  <pageSetup paperSize="5" scale="60" orientation="landscape" r:id="rId1"/>
  <headerFooter>
    <oddFooter>&amp;R&amp;"-,Italic"&amp;8Page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B1:U149"/>
  <sheetViews>
    <sheetView zoomScale="75" zoomScaleNormal="75" workbookViewId="0">
      <pane xSplit="5" ySplit="6" topLeftCell="M133" activePane="bottomRight" state="frozen"/>
      <selection pane="topRight" activeCell="F1" sqref="F1"/>
      <selection pane="bottomLeft" activeCell="A7" sqref="A7"/>
      <selection pane="bottomRight" activeCell="P146" sqref="P146"/>
    </sheetView>
  </sheetViews>
  <sheetFormatPr defaultRowHeight="24.95" customHeight="1"/>
  <cols>
    <col min="1" max="4" width="2.7109375" style="2" customWidth="1"/>
    <col min="5" max="5" width="50.5703125" style="57" customWidth="1"/>
    <col min="6" max="7" width="21" style="2" customWidth="1"/>
    <col min="8" max="8" width="18.5703125" style="2" customWidth="1"/>
    <col min="9" max="9" width="0.7109375" style="2" customWidth="1"/>
    <col min="10" max="10" width="24" style="2" bestFit="1" customWidth="1"/>
    <col min="11" max="11" width="18.7109375" style="2" bestFit="1" customWidth="1"/>
    <col min="12" max="12" width="19.42578125" style="2" bestFit="1" customWidth="1"/>
    <col min="13" max="13" width="0.5703125" style="2" customWidth="1"/>
    <col min="14" max="15" width="19.85546875" style="2" bestFit="1" customWidth="1"/>
    <col min="16" max="16" width="19" style="2" bestFit="1" customWidth="1"/>
    <col min="17" max="17" width="14.5703125" style="1" customWidth="1"/>
    <col min="18" max="18" width="9.140625" style="2"/>
    <col min="19" max="19" width="13.140625" style="2" bestFit="1" customWidth="1"/>
    <col min="20" max="16384" width="9.140625" style="2"/>
  </cols>
  <sheetData>
    <row r="1" spans="2:17" ht="18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2:17" ht="20.25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2:17" ht="18">
      <c r="B3" s="131" t="s">
        <v>146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2:17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2:17" ht="24.95" customHeight="1">
      <c r="B5" s="134" t="s">
        <v>3</v>
      </c>
      <c r="C5" s="135"/>
      <c r="D5" s="135"/>
      <c r="E5" s="136"/>
      <c r="F5" s="140" t="s">
        <v>4</v>
      </c>
      <c r="G5" s="141"/>
      <c r="H5" s="142"/>
      <c r="I5" s="3"/>
      <c r="J5" s="140" t="s">
        <v>5</v>
      </c>
      <c r="K5" s="141"/>
      <c r="L5" s="142"/>
      <c r="M5" s="4"/>
      <c r="N5" s="140" t="s">
        <v>7</v>
      </c>
      <c r="O5" s="141"/>
      <c r="P5" s="143"/>
      <c r="Q5" s="127" t="s">
        <v>8</v>
      </c>
    </row>
    <row r="6" spans="2:17" s="8" customFormat="1" ht="28.5" customHeight="1" thickBot="1">
      <c r="B6" s="137"/>
      <c r="C6" s="138"/>
      <c r="D6" s="138"/>
      <c r="E6" s="139"/>
      <c r="F6" s="5" t="s">
        <v>9</v>
      </c>
      <c r="G6" s="6" t="s">
        <v>10</v>
      </c>
      <c r="H6" s="5" t="s">
        <v>11</v>
      </c>
      <c r="I6" s="6"/>
      <c r="J6" s="5" t="s">
        <v>12</v>
      </c>
      <c r="K6" s="6" t="s">
        <v>10</v>
      </c>
      <c r="L6" s="5" t="s">
        <v>11</v>
      </c>
      <c r="M6" s="5"/>
      <c r="N6" s="6" t="s">
        <v>13</v>
      </c>
      <c r="O6" s="6" t="s">
        <v>10</v>
      </c>
      <c r="P6" s="7" t="s">
        <v>11</v>
      </c>
      <c r="Q6" s="128"/>
    </row>
    <row r="7" spans="2:17" ht="24.95" customHeight="1">
      <c r="B7" s="9"/>
      <c r="C7" s="10"/>
      <c r="D7" s="10"/>
      <c r="E7" s="11"/>
      <c r="F7" s="12"/>
      <c r="G7" s="12"/>
      <c r="H7" s="12"/>
      <c r="I7" s="13"/>
      <c r="J7" s="12"/>
      <c r="K7" s="12"/>
      <c r="L7" s="12"/>
      <c r="M7" s="12"/>
      <c r="N7" s="12"/>
      <c r="O7" s="12"/>
      <c r="P7" s="14"/>
      <c r="Q7" s="15"/>
    </row>
    <row r="8" spans="2:17" ht="24.95" customHeight="1">
      <c r="B8" s="9" t="s">
        <v>14</v>
      </c>
      <c r="C8" s="10"/>
      <c r="D8" s="10"/>
      <c r="E8" s="11"/>
      <c r="F8" s="12">
        <f>+january!F8+february!F8+march!F8+april!F8+may!F8+june!F8</f>
        <v>3459138202.73</v>
      </c>
      <c r="G8" s="12">
        <f>+january!G8+february!G8+march!G8+april!G8+may!G8+june!G8</f>
        <v>3371314295.6499996</v>
      </c>
      <c r="H8" s="12">
        <f>+F8-G8</f>
        <v>87823907.080000401</v>
      </c>
      <c r="I8" s="13"/>
      <c r="J8" s="12">
        <f>+january!J8+february!J8+march!J8+april!J8+may!J8+june!J8</f>
        <v>0</v>
      </c>
      <c r="K8" s="12">
        <f>+january!K8+february!K8+march!K8+april!K8+may!K8+june!K8</f>
        <v>0</v>
      </c>
      <c r="L8" s="12">
        <f>+J8-K8</f>
        <v>0</v>
      </c>
      <c r="M8" s="12"/>
      <c r="N8" s="12">
        <f>+F8+J8</f>
        <v>3459138202.73</v>
      </c>
      <c r="O8" s="12">
        <f>+G8+K8</f>
        <v>3371314295.6499996</v>
      </c>
      <c r="P8" s="14">
        <f>+N8-O8</f>
        <v>87823907.080000401</v>
      </c>
      <c r="Q8" s="17">
        <f>+O8/N8</f>
        <v>0.9746110441581407</v>
      </c>
    </row>
    <row r="9" spans="2:17" ht="24.95" customHeight="1">
      <c r="B9" s="18"/>
      <c r="C9" s="10"/>
      <c r="D9" s="10"/>
      <c r="E9" s="19"/>
      <c r="F9" s="12"/>
      <c r="G9" s="12"/>
      <c r="H9" s="12">
        <f>+F9-G9</f>
        <v>0</v>
      </c>
      <c r="I9" s="13"/>
      <c r="J9" s="12"/>
      <c r="K9" s="12"/>
      <c r="L9" s="12">
        <f>+J9-K9</f>
        <v>0</v>
      </c>
      <c r="M9" s="12"/>
      <c r="N9" s="12"/>
      <c r="O9" s="12"/>
      <c r="P9" s="14"/>
      <c r="Q9" s="17"/>
    </row>
    <row r="10" spans="2:17" ht="24.95" customHeight="1">
      <c r="B10" s="9" t="s">
        <v>15</v>
      </c>
      <c r="C10" s="10"/>
      <c r="D10" s="10"/>
      <c r="E10" s="11"/>
      <c r="F10" s="12"/>
      <c r="G10" s="12"/>
      <c r="H10" s="12"/>
      <c r="I10" s="13"/>
      <c r="J10" s="12"/>
      <c r="K10" s="12"/>
      <c r="L10" s="12"/>
      <c r="M10" s="12"/>
      <c r="N10" s="12"/>
      <c r="O10" s="12"/>
      <c r="P10" s="14"/>
      <c r="Q10" s="17"/>
    </row>
    <row r="11" spans="2:17" ht="30" customHeight="1">
      <c r="B11" s="9"/>
      <c r="C11" s="129" t="s">
        <v>16</v>
      </c>
      <c r="D11" s="129"/>
      <c r="E11" s="130"/>
      <c r="F11" s="12">
        <f>SUM(F13:F46)</f>
        <v>5634122968.3599997</v>
      </c>
      <c r="G11" s="12">
        <f t="shared" ref="G11:I11" si="0">SUM(G13:G46)</f>
        <v>4528814903.7493753</v>
      </c>
      <c r="H11" s="12">
        <f t="shared" si="0"/>
        <v>1105308064.6106248</v>
      </c>
      <c r="I11" s="12">
        <f t="shared" si="0"/>
        <v>2208000</v>
      </c>
      <c r="J11" s="12">
        <f>SUM(J13:J46)</f>
        <v>227016919.53</v>
      </c>
      <c r="K11" s="12">
        <f t="shared" ref="K11" si="1">SUM(K13:K46)</f>
        <v>225490984.09</v>
      </c>
      <c r="L11" s="12">
        <f>SUM(L13:L46)</f>
        <v>1525935.4400000013</v>
      </c>
      <c r="M11" s="12">
        <f t="shared" ref="M11:P11" si="2">SUM(M13:M46)</f>
        <v>0</v>
      </c>
      <c r="N11" s="12">
        <f t="shared" si="2"/>
        <v>5861139887.8900003</v>
      </c>
      <c r="O11" s="12">
        <f t="shared" si="2"/>
        <v>4754305887.8393755</v>
      </c>
      <c r="P11" s="14">
        <f t="shared" si="2"/>
        <v>1106834000.0506251</v>
      </c>
      <c r="Q11" s="17">
        <f>+O11/N11</f>
        <v>0.81115721152850984</v>
      </c>
    </row>
    <row r="12" spans="2:17" ht="24.95" customHeight="1">
      <c r="B12" s="18"/>
      <c r="C12" s="20" t="s">
        <v>17</v>
      </c>
      <c r="D12" s="20"/>
      <c r="E12" s="10"/>
      <c r="F12" s="12"/>
      <c r="G12" s="12"/>
      <c r="H12" s="12">
        <f t="shared" ref="H12:H17" si="3">+F12-G12</f>
        <v>0</v>
      </c>
      <c r="I12" s="13"/>
      <c r="J12" s="12"/>
      <c r="K12" s="12"/>
      <c r="L12" s="12">
        <f t="shared" ref="L12:L17" si="4">+J12-K12</f>
        <v>0</v>
      </c>
      <c r="M12" s="12"/>
      <c r="N12" s="12"/>
      <c r="O12" s="12"/>
      <c r="P12" s="14"/>
      <c r="Q12" s="17"/>
    </row>
    <row r="13" spans="2:17" ht="24.95" customHeight="1">
      <c r="B13" s="18"/>
      <c r="C13" s="20"/>
      <c r="D13" s="20"/>
      <c r="E13" s="10" t="s">
        <v>18</v>
      </c>
      <c r="F13" s="12">
        <f>+january!F13+february!F13+march!F13+april!F13+may!F13+june!F13</f>
        <v>142730477</v>
      </c>
      <c r="G13" s="12">
        <f>+january!G13+february!G13+march!G13+april!G13+may!G13+june!G13</f>
        <v>142364758.11000001</v>
      </c>
      <c r="H13" s="12">
        <f t="shared" si="3"/>
        <v>365718.88999998569</v>
      </c>
      <c r="I13" s="13"/>
      <c r="J13" s="12">
        <f>+january!J13+february!J13+march!J13+april!J13+may!J13+june!J13</f>
        <v>22250000</v>
      </c>
      <c r="K13" s="12">
        <f>+january!K13+february!K13+march!K13+april!K13+may!K13+june!K13</f>
        <v>22250000</v>
      </c>
      <c r="L13" s="12">
        <f t="shared" si="4"/>
        <v>0</v>
      </c>
      <c r="M13" s="12"/>
      <c r="N13" s="12">
        <f t="shared" ref="N13:O17" si="5">+F13+J13</f>
        <v>164980477</v>
      </c>
      <c r="O13" s="12">
        <f t="shared" si="5"/>
        <v>164614758.11000001</v>
      </c>
      <c r="P13" s="14">
        <f>+N13-O13</f>
        <v>365718.88999998569</v>
      </c>
      <c r="Q13" s="17">
        <f t="shared" ref="Q13:Q72" si="6">+O13/N13</f>
        <v>0.99778325959137582</v>
      </c>
    </row>
    <row r="14" spans="2:17" ht="24.95" customHeight="1">
      <c r="B14" s="18"/>
      <c r="C14" s="10"/>
      <c r="D14" s="10"/>
      <c r="E14" s="21" t="s">
        <v>19</v>
      </c>
      <c r="F14" s="12">
        <f>+january!F14+february!F14+march!F14+april!F14+may!F14+june!F14</f>
        <v>57211486.539999999</v>
      </c>
      <c r="G14" s="12">
        <f>+january!G14+february!G14+march!G14+april!G14+may!G14+june!G14</f>
        <v>56712613.34937501</v>
      </c>
      <c r="H14" s="12">
        <f t="shared" si="3"/>
        <v>498873.19062498957</v>
      </c>
      <c r="I14" s="13"/>
      <c r="J14" s="12">
        <f>+january!J14+february!J14+march!J14+april!J14+may!J14+june!J14</f>
        <v>0</v>
      </c>
      <c r="K14" s="12">
        <f>+january!K14+february!K14+march!K14+april!K14+may!K14+june!K14</f>
        <v>0</v>
      </c>
      <c r="L14" s="12">
        <f t="shared" si="4"/>
        <v>0</v>
      </c>
      <c r="M14" s="12"/>
      <c r="N14" s="12">
        <f t="shared" si="5"/>
        <v>57211486.539999999</v>
      </c>
      <c r="O14" s="12">
        <f t="shared" si="5"/>
        <v>56712613.34937501</v>
      </c>
      <c r="P14" s="14">
        <f>+N14-O14</f>
        <v>498873.19062498957</v>
      </c>
      <c r="Q14" s="17">
        <f t="shared" si="6"/>
        <v>0.99128019177973647</v>
      </c>
    </row>
    <row r="15" spans="2:17" ht="27" customHeight="1">
      <c r="B15" s="18"/>
      <c r="C15" s="10"/>
      <c r="D15" s="10"/>
      <c r="E15" s="21" t="s">
        <v>20</v>
      </c>
      <c r="F15" s="12">
        <f>+january!F15+february!F15+march!F15+april!F15+may!F15+june!F15</f>
        <v>64174150</v>
      </c>
      <c r="G15" s="12">
        <f>+january!G15+february!G15+march!G15+april!G15+may!G15+june!G15</f>
        <v>60957105</v>
      </c>
      <c r="H15" s="12">
        <f t="shared" si="3"/>
        <v>3217045</v>
      </c>
      <c r="I15" s="13"/>
      <c r="J15" s="12">
        <f>+january!J15+february!J15+march!J15+april!J15+may!J15+june!J15</f>
        <v>0</v>
      </c>
      <c r="K15" s="12">
        <f>+january!K15+february!K15+march!K15+april!K15+may!K15+june!K15</f>
        <v>0</v>
      </c>
      <c r="L15" s="12">
        <f t="shared" si="4"/>
        <v>0</v>
      </c>
      <c r="M15" s="12"/>
      <c r="N15" s="12">
        <f t="shared" si="5"/>
        <v>64174150</v>
      </c>
      <c r="O15" s="12">
        <f t="shared" si="5"/>
        <v>60957105</v>
      </c>
      <c r="P15" s="14">
        <f>+N15-O15</f>
        <v>3217045</v>
      </c>
      <c r="Q15" s="17">
        <f t="shared" si="6"/>
        <v>0.94987008008676388</v>
      </c>
    </row>
    <row r="16" spans="2:17" ht="27" customHeight="1">
      <c r="B16" s="18"/>
      <c r="C16" s="10"/>
      <c r="D16" s="10"/>
      <c r="E16" s="22" t="s">
        <v>21</v>
      </c>
      <c r="F16" s="12">
        <f>+january!F16+february!F16+march!F16+april!F16+may!F16+june!F16</f>
        <v>15683075.190000001</v>
      </c>
      <c r="G16" s="12">
        <f>+january!G16+february!G16+march!G16+april!G16+may!G16+june!G16</f>
        <v>15678521.5</v>
      </c>
      <c r="H16" s="12">
        <f t="shared" si="3"/>
        <v>4553.6900000013411</v>
      </c>
      <c r="I16" s="13"/>
      <c r="J16" s="12">
        <f>+january!J16+february!J16+march!J16+april!J16+may!J16+june!J16</f>
        <v>0</v>
      </c>
      <c r="K16" s="12">
        <f>+january!K16+february!K16+march!K16+april!K16+may!K16+june!K16</f>
        <v>0</v>
      </c>
      <c r="L16" s="12">
        <f t="shared" si="4"/>
        <v>0</v>
      </c>
      <c r="M16" s="12"/>
      <c r="N16" s="12">
        <f t="shared" si="5"/>
        <v>15683075.190000001</v>
      </c>
      <c r="O16" s="12">
        <f t="shared" si="5"/>
        <v>15678521.5</v>
      </c>
      <c r="P16" s="14">
        <f>+N16-O16</f>
        <v>4553.6900000013411</v>
      </c>
      <c r="Q16" s="17">
        <f t="shared" si="6"/>
        <v>0.99970964304227117</v>
      </c>
    </row>
    <row r="17" spans="2:17" ht="27" customHeight="1">
      <c r="B17" s="18"/>
      <c r="C17" s="10"/>
      <c r="D17" s="10"/>
      <c r="E17" s="21" t="s">
        <v>22</v>
      </c>
      <c r="F17" s="12">
        <f>+january!F17+february!F17+march!F17+april!F17+may!F17+june!F17</f>
        <v>98263604</v>
      </c>
      <c r="G17" s="12">
        <f>+january!G17+february!G17+march!G17+april!G17+may!G17+june!G17</f>
        <v>98168243.109999999</v>
      </c>
      <c r="H17" s="12">
        <f t="shared" si="3"/>
        <v>95360.890000000596</v>
      </c>
      <c r="I17" s="13"/>
      <c r="J17" s="12">
        <f>+january!J17+february!J17+march!J17+april!J17+may!J17+june!J17</f>
        <v>0</v>
      </c>
      <c r="K17" s="12">
        <f>+january!K17+february!K17+march!K17+april!K17+may!K17+june!K17</f>
        <v>0</v>
      </c>
      <c r="L17" s="12">
        <f t="shared" si="4"/>
        <v>0</v>
      </c>
      <c r="M17" s="12"/>
      <c r="N17" s="12">
        <f t="shared" si="5"/>
        <v>98263604</v>
      </c>
      <c r="O17" s="12">
        <f t="shared" si="5"/>
        <v>98168243.109999999</v>
      </c>
      <c r="P17" s="14">
        <f>+N17-O17</f>
        <v>95360.890000000596</v>
      </c>
      <c r="Q17" s="17">
        <f t="shared" si="6"/>
        <v>0.99902954007263967</v>
      </c>
    </row>
    <row r="18" spans="2:17" ht="24.95" customHeight="1">
      <c r="B18" s="18"/>
      <c r="C18" s="10"/>
      <c r="D18" s="10"/>
      <c r="E18" s="21"/>
      <c r="F18" s="12">
        <f>+january!F18+february!F18+march!F18+april!F18+may!F18+june!F18</f>
        <v>0</v>
      </c>
      <c r="G18" s="12">
        <f>+january!G18+february!G18+march!G18+april!G18+may!G18+june!G18</f>
        <v>0</v>
      </c>
      <c r="H18" s="12"/>
      <c r="I18" s="13"/>
      <c r="J18" s="12">
        <f>+january!J18+february!J18+march!J18+april!J18+may!J18+june!J18</f>
        <v>0</v>
      </c>
      <c r="K18" s="12">
        <f>+january!K18+february!K18+march!K18+april!K18+may!K18+june!K18</f>
        <v>0</v>
      </c>
      <c r="L18" s="12"/>
      <c r="M18" s="12"/>
      <c r="N18" s="12"/>
      <c r="O18" s="12"/>
      <c r="P18" s="14"/>
      <c r="Q18" s="17"/>
    </row>
    <row r="19" spans="2:17" ht="24.95" customHeight="1">
      <c r="B19" s="18"/>
      <c r="C19" s="20" t="s">
        <v>23</v>
      </c>
      <c r="D19" s="20"/>
      <c r="E19" s="10"/>
      <c r="F19" s="12">
        <f>+january!F19+february!F19+march!F19+april!F19+may!F19+june!F19</f>
        <v>0</v>
      </c>
      <c r="G19" s="12">
        <f>+january!G19+february!G19+march!G19+april!G19+may!G19+june!G19</f>
        <v>0</v>
      </c>
      <c r="H19" s="12"/>
      <c r="I19" s="13"/>
      <c r="J19" s="12">
        <f>+january!J19+february!J19+march!J19+april!J19+may!J19+june!J19</f>
        <v>0</v>
      </c>
      <c r="K19" s="12">
        <f>+january!K19+february!K19+march!K19+april!K19+may!K19+june!K19</f>
        <v>0</v>
      </c>
      <c r="L19" s="12"/>
      <c r="M19" s="12"/>
      <c r="N19" s="12"/>
      <c r="O19" s="12"/>
      <c r="P19" s="14"/>
      <c r="Q19" s="17"/>
    </row>
    <row r="20" spans="2:17" ht="24.95" customHeight="1">
      <c r="B20" s="18"/>
      <c r="C20" s="20"/>
      <c r="D20" s="20"/>
      <c r="E20" s="10" t="s">
        <v>24</v>
      </c>
      <c r="F20" s="12">
        <f>+january!F20+february!F20+march!F20+april!F20+may!F20+june!F20</f>
        <v>129765000</v>
      </c>
      <c r="G20" s="12">
        <f>+january!G20+february!G20+march!G20+april!G20+may!G20+june!G20</f>
        <v>190846035.69</v>
      </c>
      <c r="H20" s="12">
        <f>+F20-G20</f>
        <v>-61081035.689999998</v>
      </c>
      <c r="I20" s="13"/>
      <c r="J20" s="12">
        <f>+january!J20+february!J20+march!J20+april!J20+may!J20+june!J20</f>
        <v>0</v>
      </c>
      <c r="K20" s="12">
        <f>+january!K20+february!K20+march!K20+april!K20+may!K20+june!K20</f>
        <v>0</v>
      </c>
      <c r="L20" s="12">
        <f>+J20-K20</f>
        <v>0</v>
      </c>
      <c r="M20" s="12"/>
      <c r="N20" s="12">
        <f>+F20+J20</f>
        <v>129765000</v>
      </c>
      <c r="O20" s="12">
        <f>+G20+K20</f>
        <v>190846035.69</v>
      </c>
      <c r="P20" s="14">
        <f>+N20-O20</f>
        <v>-61081035.689999998</v>
      </c>
      <c r="Q20" s="17">
        <f t="shared" si="6"/>
        <v>1.4707050105190151</v>
      </c>
    </row>
    <row r="21" spans="2:17" ht="28.5" customHeight="1">
      <c r="B21" s="18"/>
      <c r="C21" s="10"/>
      <c r="D21" s="10"/>
      <c r="E21" s="22" t="s">
        <v>25</v>
      </c>
      <c r="F21" s="12">
        <f>+january!F21+february!F21+march!F21+april!F21+may!F21+june!F21</f>
        <v>144776000</v>
      </c>
      <c r="G21" s="12">
        <f>+january!G21+february!G21+march!G21+april!G21+may!G21+june!G21</f>
        <v>131565381.01000001</v>
      </c>
      <c r="H21" s="12">
        <f>+F21-G21</f>
        <v>13210618.989999995</v>
      </c>
      <c r="I21" s="13"/>
      <c r="J21" s="12">
        <f>+january!J21+february!J21+march!J21+april!J21+may!J21+june!J21</f>
        <v>0</v>
      </c>
      <c r="K21" s="12">
        <f>+january!K21+february!K21+march!K21+april!K21+may!K21+june!K21</f>
        <v>0</v>
      </c>
      <c r="L21" s="12">
        <f>+J21-K21</f>
        <v>0</v>
      </c>
      <c r="M21" s="12"/>
      <c r="N21" s="12">
        <f>+F21+J21</f>
        <v>144776000</v>
      </c>
      <c r="O21" s="12">
        <f>+G21+K21</f>
        <v>131565381.01000001</v>
      </c>
      <c r="P21" s="14">
        <f>+N21-O21</f>
        <v>13210618.989999995</v>
      </c>
      <c r="Q21" s="17">
        <f t="shared" si="6"/>
        <v>0.90875131934851083</v>
      </c>
    </row>
    <row r="22" spans="2:17" ht="24.95" customHeight="1">
      <c r="B22" s="18"/>
      <c r="C22" s="10"/>
      <c r="D22" s="10"/>
      <c r="E22" s="22"/>
      <c r="F22" s="12">
        <f>+january!F22+february!F22+march!F22+april!F22+may!F22+june!F22</f>
        <v>0</v>
      </c>
      <c r="G22" s="12">
        <f>+january!G22+february!G22+march!G22+april!G22+may!G22+june!G22</f>
        <v>0</v>
      </c>
      <c r="H22" s="12"/>
      <c r="I22" s="13"/>
      <c r="J22" s="12">
        <f>+january!J22+february!J22+march!J22+april!J22+may!J22+june!J22</f>
        <v>0</v>
      </c>
      <c r="K22" s="12">
        <f>+january!K22+february!K22+march!K22+april!K22+may!K22+june!K22</f>
        <v>0</v>
      </c>
      <c r="L22" s="12"/>
      <c r="M22" s="12"/>
      <c r="N22" s="12"/>
      <c r="O22" s="12"/>
      <c r="P22" s="14"/>
      <c r="Q22" s="17"/>
    </row>
    <row r="23" spans="2:17" ht="24.95" customHeight="1">
      <c r="B23" s="18"/>
      <c r="C23" s="20" t="s">
        <v>26</v>
      </c>
      <c r="D23" s="20"/>
      <c r="E23" s="10"/>
      <c r="F23" s="12">
        <f>+january!F23+february!F23+march!F23+april!F23+may!F23+june!F23</f>
        <v>0</v>
      </c>
      <c r="G23" s="12">
        <f>+january!G23+february!G23+march!G23+april!G23+may!G23+june!G23</f>
        <v>0</v>
      </c>
      <c r="H23" s="12"/>
      <c r="I23" s="13"/>
      <c r="J23" s="12">
        <f>+january!J23+february!J23+march!J23+april!J23+may!J23+june!J23</f>
        <v>0</v>
      </c>
      <c r="K23" s="12">
        <f>+january!K23+february!K23+march!K23+april!K23+may!K23+june!K23</f>
        <v>0</v>
      </c>
      <c r="L23" s="12"/>
      <c r="M23" s="12"/>
      <c r="N23" s="12"/>
      <c r="O23" s="12"/>
      <c r="P23" s="14"/>
      <c r="Q23" s="17"/>
    </row>
    <row r="24" spans="2:17" ht="24.95" customHeight="1">
      <c r="B24" s="18"/>
      <c r="C24" s="20"/>
      <c r="D24" s="20"/>
      <c r="E24" s="10" t="s">
        <v>27</v>
      </c>
      <c r="F24" s="12">
        <f>+january!F24+february!F24+march!F24+april!F24+may!F24+june!F24</f>
        <v>324819000</v>
      </c>
      <c r="G24" s="12">
        <f>+january!G24+february!G24+march!G24+april!G24+may!G24+june!G24</f>
        <v>324660273.88999999</v>
      </c>
      <c r="H24" s="12">
        <f>+F24-G24</f>
        <v>158726.11000001431</v>
      </c>
      <c r="I24" s="13"/>
      <c r="J24" s="12">
        <f>+january!J24+february!J24+march!J24+april!J24+may!J24+june!J24</f>
        <v>0</v>
      </c>
      <c r="K24" s="12">
        <f>+january!K24+february!K24+march!K24+april!K24+may!K24+june!K24</f>
        <v>0</v>
      </c>
      <c r="L24" s="12">
        <f>+J24-K24</f>
        <v>0</v>
      </c>
      <c r="M24" s="12"/>
      <c r="N24" s="12">
        <f t="shared" ref="N24:O26" si="7">+F24+J24</f>
        <v>324819000</v>
      </c>
      <c r="O24" s="12">
        <f t="shared" si="7"/>
        <v>324660273.88999999</v>
      </c>
      <c r="P24" s="14">
        <f>+N24-O24</f>
        <v>158726.11000001431</v>
      </c>
      <c r="Q24" s="17">
        <f t="shared" si="6"/>
        <v>0.99951133982310147</v>
      </c>
    </row>
    <row r="25" spans="2:17" ht="27.75" customHeight="1">
      <c r="B25" s="18"/>
      <c r="C25" s="10"/>
      <c r="D25" s="10"/>
      <c r="E25" s="60" t="s">
        <v>28</v>
      </c>
      <c r="F25" s="12">
        <f>+january!F25+february!F25+march!F25+april!F25+may!F25+june!F25</f>
        <v>41758330</v>
      </c>
      <c r="G25" s="12">
        <f>+january!G25+february!G25+march!G25+april!G25+may!G25+june!G25</f>
        <v>41744454.659999996</v>
      </c>
      <c r="H25" s="12">
        <f>+F25-G25</f>
        <v>13875.340000003576</v>
      </c>
      <c r="I25" s="13"/>
      <c r="J25" s="12">
        <f>+january!J25+february!J25+march!J25+april!J25+may!J25+june!J25</f>
        <v>36750000</v>
      </c>
      <c r="K25" s="12">
        <f>+january!K25+february!K25+march!K25+april!K25+may!K25+june!K25</f>
        <v>36750000</v>
      </c>
      <c r="L25" s="12">
        <f>+J25-K25</f>
        <v>0</v>
      </c>
      <c r="M25" s="12"/>
      <c r="N25" s="12">
        <f t="shared" si="7"/>
        <v>78508330</v>
      </c>
      <c r="O25" s="12">
        <f t="shared" si="7"/>
        <v>78494454.659999996</v>
      </c>
      <c r="P25" s="14">
        <f>+N25-O25</f>
        <v>13875.340000003576</v>
      </c>
      <c r="Q25" s="17">
        <f t="shared" si="6"/>
        <v>0.99982326283083589</v>
      </c>
    </row>
    <row r="26" spans="2:17" ht="27.75" customHeight="1">
      <c r="B26" s="18"/>
      <c r="C26" s="10"/>
      <c r="D26" s="10"/>
      <c r="E26" s="22" t="s">
        <v>29</v>
      </c>
      <c r="F26" s="12">
        <f>+january!F26+february!F26+march!F26+april!F26+may!F26+june!F26</f>
        <v>24704000</v>
      </c>
      <c r="G26" s="12">
        <f>+january!G26+february!G26+march!G26+april!G26+may!G26+june!G26</f>
        <v>19657268.440000001</v>
      </c>
      <c r="H26" s="12">
        <f>+F26-G26</f>
        <v>5046731.5599999987</v>
      </c>
      <c r="I26" s="13"/>
      <c r="J26" s="12">
        <f>+january!J26+february!J26+march!J26+april!J26+may!J26+june!J26</f>
        <v>0</v>
      </c>
      <c r="K26" s="12">
        <f>+january!K26+february!K26+march!K26+april!K26+may!K26+june!K26</f>
        <v>0</v>
      </c>
      <c r="L26" s="12">
        <f>+J26-K26</f>
        <v>0</v>
      </c>
      <c r="M26" s="12"/>
      <c r="N26" s="12">
        <f t="shared" si="7"/>
        <v>24704000</v>
      </c>
      <c r="O26" s="12">
        <f t="shared" si="7"/>
        <v>19657268.440000001</v>
      </c>
      <c r="P26" s="14">
        <f>+N26-O26</f>
        <v>5046731.5599999987</v>
      </c>
      <c r="Q26" s="17">
        <f t="shared" si="6"/>
        <v>0.79571196729274618</v>
      </c>
    </row>
    <row r="27" spans="2:17" ht="24.95" customHeight="1">
      <c r="B27" s="18"/>
      <c r="C27" s="10"/>
      <c r="D27" s="10"/>
      <c r="E27" s="22"/>
      <c r="F27" s="12">
        <f>+january!F27+february!F27+march!F27+april!F27+may!F27+june!F27</f>
        <v>0</v>
      </c>
      <c r="G27" s="12">
        <f>+january!G27+february!G27+march!G27+april!G27+may!G27+june!G27</f>
        <v>0</v>
      </c>
      <c r="H27" s="12"/>
      <c r="I27" s="13"/>
      <c r="J27" s="12">
        <f>+january!J27+february!J27+march!J27+april!J27+may!J27+june!J27</f>
        <v>0</v>
      </c>
      <c r="K27" s="12">
        <f>+january!K27+february!K27+march!K27+april!K27+may!K27+june!K27</f>
        <v>0</v>
      </c>
      <c r="L27" s="12"/>
      <c r="M27" s="12"/>
      <c r="N27" s="12"/>
      <c r="O27" s="12"/>
      <c r="P27" s="14"/>
      <c r="Q27" s="17"/>
    </row>
    <row r="28" spans="2:17" ht="24.95" customHeight="1">
      <c r="B28" s="18"/>
      <c r="C28" s="20" t="s">
        <v>30</v>
      </c>
      <c r="D28" s="20"/>
      <c r="E28" s="10"/>
      <c r="F28" s="12">
        <f>+january!F28+february!F28+march!F28+april!F28+may!F28+june!F28</f>
        <v>0</v>
      </c>
      <c r="G28" s="12">
        <f>+january!G28+february!G28+march!G28+april!G28+may!G28+june!G28</f>
        <v>0</v>
      </c>
      <c r="H28" s="12"/>
      <c r="I28" s="13"/>
      <c r="J28" s="12">
        <f>+january!J28+february!J28+march!J28+april!J28+may!J28+june!J28</f>
        <v>0</v>
      </c>
      <c r="K28" s="12">
        <f>+january!K28+february!K28+march!K28+april!K28+may!K28+june!K28</f>
        <v>0</v>
      </c>
      <c r="L28" s="12"/>
      <c r="M28" s="12"/>
      <c r="N28" s="12"/>
      <c r="O28" s="12"/>
      <c r="P28" s="14"/>
      <c r="Q28" s="17"/>
    </row>
    <row r="29" spans="2:17" ht="24.95" customHeight="1">
      <c r="B29" s="18"/>
      <c r="C29" s="20"/>
      <c r="D29" s="20"/>
      <c r="E29" s="10" t="s">
        <v>31</v>
      </c>
      <c r="F29" s="12">
        <f>+january!F29+february!F29+march!F29+april!F29+may!F29+june!F29</f>
        <v>172935165</v>
      </c>
      <c r="G29" s="12">
        <f>+january!G29+february!G29+march!G29+april!G29+may!G29+june!G29</f>
        <v>155318935.16</v>
      </c>
      <c r="H29" s="12">
        <f>+F29-G29</f>
        <v>17616229.840000004</v>
      </c>
      <c r="I29" s="13"/>
      <c r="J29" s="12">
        <f>+january!J29+february!J29+march!J29+april!J29+may!J29+june!J29</f>
        <v>145055981.75</v>
      </c>
      <c r="K29" s="12">
        <f>+january!K29+february!K29+march!K29+april!K29+may!K29+june!K29</f>
        <v>144969870.44</v>
      </c>
      <c r="L29" s="12">
        <f>+J29-K29</f>
        <v>86111.310000002384</v>
      </c>
      <c r="M29" s="12"/>
      <c r="N29" s="12">
        <f t="shared" ref="N29:O32" si="8">+F29+J29</f>
        <v>317991146.75</v>
      </c>
      <c r="O29" s="12">
        <f t="shared" si="8"/>
        <v>300288805.60000002</v>
      </c>
      <c r="P29" s="14">
        <f>+N29-O29</f>
        <v>17702341.149999976</v>
      </c>
      <c r="Q29" s="17">
        <f t="shared" si="6"/>
        <v>0.94433071067881869</v>
      </c>
    </row>
    <row r="30" spans="2:17" ht="28.5" customHeight="1">
      <c r="B30" s="18"/>
      <c r="C30" s="10"/>
      <c r="D30" s="10"/>
      <c r="E30" s="22" t="s">
        <v>32</v>
      </c>
      <c r="F30" s="12">
        <f>+january!F30+february!F30+march!F30+april!F30+may!F30+june!F30</f>
        <v>302015530</v>
      </c>
      <c r="G30" s="12">
        <f>+january!G30+february!G30+march!G30+april!G30+may!G30+june!G30</f>
        <v>279991073.99000001</v>
      </c>
      <c r="H30" s="12">
        <f>+F30-G30</f>
        <v>22024456.00999999</v>
      </c>
      <c r="I30" s="13"/>
      <c r="J30" s="12">
        <f>+january!J30+february!J30+march!J30+april!J30+may!J30+june!J30</f>
        <v>0</v>
      </c>
      <c r="K30" s="12">
        <f>+january!K30+february!K30+march!K30+april!K30+may!K30+june!K30</f>
        <v>0</v>
      </c>
      <c r="L30" s="12">
        <f>+J30-K30</f>
        <v>0</v>
      </c>
      <c r="M30" s="12"/>
      <c r="N30" s="12">
        <f t="shared" si="8"/>
        <v>302015530</v>
      </c>
      <c r="O30" s="12">
        <f t="shared" si="8"/>
        <v>279991073.99000001</v>
      </c>
      <c r="P30" s="14">
        <f>+N30-O30</f>
        <v>22024456.00999999</v>
      </c>
      <c r="Q30" s="17">
        <f t="shared" si="6"/>
        <v>0.92707508779432635</v>
      </c>
    </row>
    <row r="31" spans="2:17" ht="28.5" customHeight="1">
      <c r="B31" s="18"/>
      <c r="C31" s="10"/>
      <c r="D31" s="10"/>
      <c r="E31" s="22" t="s">
        <v>33</v>
      </c>
      <c r="F31" s="12">
        <f>+january!F31+february!F31+march!F31+april!F31+may!F31+june!F31</f>
        <v>172525000</v>
      </c>
      <c r="G31" s="12">
        <f>+january!G31+february!G31+march!G31+april!G31+may!G31+june!G31</f>
        <v>164178480.59</v>
      </c>
      <c r="H31" s="12">
        <f>+F31-G31</f>
        <v>8346519.4099999964</v>
      </c>
      <c r="I31" s="13"/>
      <c r="J31" s="12">
        <f>+january!J31+february!J31+march!J31+april!J31+may!J31+june!J31</f>
        <v>0</v>
      </c>
      <c r="K31" s="12">
        <f>+january!K31+february!K31+march!K31+april!K31+may!K31+june!K31</f>
        <v>0</v>
      </c>
      <c r="L31" s="12">
        <f>+J31-K31</f>
        <v>0</v>
      </c>
      <c r="M31" s="12"/>
      <c r="N31" s="12">
        <f t="shared" si="8"/>
        <v>172525000</v>
      </c>
      <c r="O31" s="12">
        <f t="shared" si="8"/>
        <v>164178480.59</v>
      </c>
      <c r="P31" s="14">
        <f>+N31-O31</f>
        <v>8346519.4099999964</v>
      </c>
      <c r="Q31" s="17">
        <f t="shared" si="6"/>
        <v>0.95162139162440229</v>
      </c>
    </row>
    <row r="32" spans="2:17" ht="28.5" customHeight="1">
      <c r="B32" s="18"/>
      <c r="C32" s="10"/>
      <c r="D32" s="10"/>
      <c r="E32" s="60" t="s">
        <v>34</v>
      </c>
      <c r="F32" s="12">
        <f>+january!F32+february!F32+march!F32+april!F32+may!F32+june!F32</f>
        <v>32105000</v>
      </c>
      <c r="G32" s="12">
        <f>+january!G32+february!G32+march!G32+april!G32+may!G32+june!G32</f>
        <v>29026548.850000001</v>
      </c>
      <c r="H32" s="12">
        <f>+F32-G32</f>
        <v>3078451.1499999985</v>
      </c>
      <c r="I32" s="13"/>
      <c r="J32" s="12">
        <f>+january!J32+february!J32+march!J32+april!J32+may!J32+june!J32</f>
        <v>0</v>
      </c>
      <c r="K32" s="12">
        <f>+january!K32+february!K32+march!K32+april!K32+may!K32+june!K32</f>
        <v>0</v>
      </c>
      <c r="L32" s="12">
        <f>+J32-K32</f>
        <v>0</v>
      </c>
      <c r="M32" s="12"/>
      <c r="N32" s="12">
        <f t="shared" si="8"/>
        <v>32105000</v>
      </c>
      <c r="O32" s="12">
        <f t="shared" si="8"/>
        <v>29026548.850000001</v>
      </c>
      <c r="P32" s="14">
        <f>+N32-O32</f>
        <v>3078451.1499999985</v>
      </c>
      <c r="Q32" s="17">
        <f t="shared" si="6"/>
        <v>0.90411303068057935</v>
      </c>
    </row>
    <row r="33" spans="2:19" ht="27.75" customHeight="1">
      <c r="B33" s="18"/>
      <c r="C33" s="10"/>
      <c r="D33" s="10"/>
      <c r="E33" s="22"/>
      <c r="F33" s="12">
        <f>+january!F33+february!F33+march!F33+april!F33+may!F33+june!F33</f>
        <v>0</v>
      </c>
      <c r="G33" s="12">
        <f>+january!G33+february!G33+march!G33+april!G33+may!G33+june!G33</f>
        <v>0</v>
      </c>
      <c r="H33" s="12"/>
      <c r="I33" s="13"/>
      <c r="J33" s="12">
        <f>+january!J33+february!J33+march!J33+april!J33+may!J33+june!J33</f>
        <v>0</v>
      </c>
      <c r="K33" s="12">
        <f>+january!K33+february!K33+march!K33+april!K33+may!K33+june!K33</f>
        <v>0</v>
      </c>
      <c r="L33" s="12"/>
      <c r="M33" s="12"/>
      <c r="N33" s="12"/>
      <c r="O33" s="12"/>
      <c r="P33" s="14"/>
      <c r="Q33" s="17"/>
    </row>
    <row r="34" spans="2:19" ht="24.95" customHeight="1">
      <c r="B34" s="18"/>
      <c r="C34" s="24" t="s">
        <v>35</v>
      </c>
      <c r="D34" s="10"/>
      <c r="E34" s="22"/>
      <c r="F34" s="12">
        <f>+january!F34+february!F34+march!F34+april!F34+may!F34+june!F34</f>
        <v>0</v>
      </c>
      <c r="G34" s="12">
        <f>+january!G34+february!G34+march!G34+april!G34+may!G34+june!G34</f>
        <v>0</v>
      </c>
      <c r="H34" s="12"/>
      <c r="I34" s="13"/>
      <c r="J34" s="12">
        <f>+january!J34+february!J34+march!J34+april!J34+may!J34+june!J34</f>
        <v>0</v>
      </c>
      <c r="K34" s="12">
        <f>+january!K34+february!K34+march!K34+april!K34+may!K34+june!K34</f>
        <v>0</v>
      </c>
      <c r="L34" s="12"/>
      <c r="M34" s="12"/>
      <c r="N34" s="12"/>
      <c r="O34" s="12"/>
      <c r="P34" s="14"/>
      <c r="Q34" s="17"/>
    </row>
    <row r="35" spans="2:19" ht="24.95" customHeight="1">
      <c r="B35" s="18"/>
      <c r="C35" s="10"/>
      <c r="D35" s="25" t="s">
        <v>36</v>
      </c>
      <c r="E35" s="26"/>
      <c r="F35" s="12">
        <f>+january!F35+february!F35+march!F35+april!F35+may!F35+june!F35</f>
        <v>132134300</v>
      </c>
      <c r="G35" s="12">
        <f>+january!G35+february!G35+march!G35+april!G35+may!G35+june!G35</f>
        <v>114457419.77000001</v>
      </c>
      <c r="H35" s="12">
        <f>+F35-G35</f>
        <v>17676880.229999989</v>
      </c>
      <c r="I35" s="13"/>
      <c r="J35" s="12">
        <f>+january!J35+february!J35+march!J35+april!J35+may!J35+june!J35</f>
        <v>0</v>
      </c>
      <c r="K35" s="12">
        <f>+january!K35+february!K35+march!K35+april!K35+may!K35+june!K35</f>
        <v>0</v>
      </c>
      <c r="L35" s="12">
        <f>+J35-K35</f>
        <v>0</v>
      </c>
      <c r="M35" s="12"/>
      <c r="N35" s="12">
        <f t="shared" ref="N35:N46" si="9">+F35+J35</f>
        <v>132134300</v>
      </c>
      <c r="O35" s="12">
        <f t="shared" ref="O35:O46" si="10">+G35+K35</f>
        <v>114457419.77000001</v>
      </c>
      <c r="P35" s="14">
        <f>+N35-O35</f>
        <v>17676880.229999989</v>
      </c>
      <c r="Q35" s="17">
        <f t="shared" si="6"/>
        <v>0.86622035133950848</v>
      </c>
    </row>
    <row r="36" spans="2:19" ht="24.95" customHeight="1">
      <c r="B36" s="18"/>
      <c r="C36" s="10"/>
      <c r="D36" s="27" t="s">
        <v>37</v>
      </c>
      <c r="E36" s="22"/>
      <c r="F36" s="12">
        <f>+january!F36+february!F36+march!F36+april!F36+may!F36+june!F36</f>
        <v>437755237.38999999</v>
      </c>
      <c r="G36" s="12">
        <f>+january!G36+february!G36+march!G36+april!G36+may!G36+june!G36</f>
        <v>437714797.31999993</v>
      </c>
      <c r="H36" s="12">
        <f>+F36-G36</f>
        <v>40440.070000052452</v>
      </c>
      <c r="I36" s="13"/>
      <c r="J36" s="12">
        <f>+january!J36+february!J36+march!J36+april!J36+may!J36+june!J36</f>
        <v>9545576.6799999997</v>
      </c>
      <c r="K36" s="12">
        <f>+january!K36+february!K36+march!K36+april!K36+may!K36+june!K36</f>
        <v>8619096.9600000009</v>
      </c>
      <c r="L36" s="12">
        <f>+J36-K36</f>
        <v>926479.71999999881</v>
      </c>
      <c r="M36" s="12"/>
      <c r="N36" s="12">
        <f t="shared" si="9"/>
        <v>447300814.06999999</v>
      </c>
      <c r="O36" s="12">
        <f t="shared" si="10"/>
        <v>446333894.27999991</v>
      </c>
      <c r="P36" s="14">
        <f>+N36-O36</f>
        <v>966919.79000008106</v>
      </c>
      <c r="Q36" s="17">
        <f t="shared" si="6"/>
        <v>0.99783832320535693</v>
      </c>
    </row>
    <row r="37" spans="2:19" ht="24.95" customHeight="1">
      <c r="B37" s="18"/>
      <c r="C37" s="10"/>
      <c r="D37" s="28" t="s">
        <v>38</v>
      </c>
      <c r="E37" s="22"/>
      <c r="F37" s="12">
        <f>+january!F37+february!F37+march!F37+april!F37+may!F37+june!F37</f>
        <v>491094720.49000001</v>
      </c>
      <c r="G37" s="12">
        <f>+january!G37+february!G37+march!G37+april!G37+may!G37+june!G37</f>
        <v>196602373.71000001</v>
      </c>
      <c r="H37" s="12">
        <f>+F37-G37</f>
        <v>294492346.77999997</v>
      </c>
      <c r="I37" s="13"/>
      <c r="J37" s="12">
        <f>+january!J37+february!J37+march!J37+april!J37+may!J37+june!J37</f>
        <v>0</v>
      </c>
      <c r="K37" s="12">
        <f>+january!K37+february!K37+march!K37+april!K37+may!K37+june!K37</f>
        <v>0</v>
      </c>
      <c r="L37" s="12">
        <f>+J37-K37</f>
        <v>0</v>
      </c>
      <c r="M37" s="12"/>
      <c r="N37" s="12">
        <f t="shared" si="9"/>
        <v>491094720.49000001</v>
      </c>
      <c r="O37" s="12">
        <f t="shared" si="10"/>
        <v>196602373.71000001</v>
      </c>
      <c r="P37" s="14">
        <f>+N37-O37</f>
        <v>294492346.77999997</v>
      </c>
      <c r="Q37" s="17">
        <f t="shared" si="6"/>
        <v>0.40033493643310986</v>
      </c>
    </row>
    <row r="38" spans="2:19" ht="24.95" customHeight="1">
      <c r="B38" s="18"/>
      <c r="C38" s="10"/>
      <c r="D38" s="28" t="s">
        <v>39</v>
      </c>
      <c r="E38" s="22"/>
      <c r="F38" s="12">
        <f>+january!F38+february!F38+march!F38+april!F38+may!F38+june!F38</f>
        <v>478125433.75</v>
      </c>
      <c r="G38" s="12">
        <f>+january!G38+february!G38+march!G38+april!G38+may!G38+june!G38</f>
        <v>374604256.27999997</v>
      </c>
      <c r="H38" s="12">
        <f>+F38-G38</f>
        <v>103521177.47000003</v>
      </c>
      <c r="I38" s="13"/>
      <c r="J38" s="12">
        <f>+january!J38+february!J38+march!J38+april!J38+may!J38+june!J38</f>
        <v>0</v>
      </c>
      <c r="K38" s="12">
        <f>+january!K38+february!K38+march!K38+april!K38+may!K38+june!K38</f>
        <v>0</v>
      </c>
      <c r="L38" s="12">
        <f>+J38-K38</f>
        <v>0</v>
      </c>
      <c r="M38" s="12"/>
      <c r="N38" s="12">
        <f t="shared" si="9"/>
        <v>478125433.75</v>
      </c>
      <c r="O38" s="12">
        <f t="shared" si="10"/>
        <v>374604256.27999997</v>
      </c>
      <c r="P38" s="14">
        <f>+N38-O38</f>
        <v>103521177.47000003</v>
      </c>
      <c r="Q38" s="17">
        <f t="shared" si="6"/>
        <v>0.78348531543685107</v>
      </c>
    </row>
    <row r="39" spans="2:19" ht="24.95" customHeight="1">
      <c r="B39" s="18"/>
      <c r="C39" s="10"/>
      <c r="D39" s="28" t="s">
        <v>40</v>
      </c>
      <c r="E39" s="22"/>
      <c r="F39" s="12">
        <f>+january!F39+february!F39+march!F39+april!F39+may!F39+june!F39</f>
        <v>634332959</v>
      </c>
      <c r="G39" s="12">
        <f>+january!G39+february!G39+march!G39+april!G39+may!G39+june!G39</f>
        <v>404477963.75</v>
      </c>
      <c r="H39" s="12">
        <f t="shared" ref="H39:H44" si="11">+F39-G39</f>
        <v>229854995.25</v>
      </c>
      <c r="I39" s="13"/>
      <c r="J39" s="12">
        <f>+january!J39+february!J39+march!J39+april!J39+may!J39+june!J39</f>
        <v>458660</v>
      </c>
      <c r="K39" s="12">
        <f>+january!K39+february!K39+march!K39+april!K39+may!K39+june!K39</f>
        <v>0</v>
      </c>
      <c r="L39" s="12">
        <f t="shared" ref="L39:L44" si="12">+J39-K39</f>
        <v>458660</v>
      </c>
      <c r="M39" s="12"/>
      <c r="N39" s="12">
        <f t="shared" si="9"/>
        <v>634791619</v>
      </c>
      <c r="O39" s="12">
        <f t="shared" si="10"/>
        <v>404477963.75</v>
      </c>
      <c r="P39" s="14">
        <f t="shared" ref="P39:P46" si="13">+N39-O39</f>
        <v>230313655.25</v>
      </c>
      <c r="Q39" s="17">
        <f t="shared" si="6"/>
        <v>0.63718226839097569</v>
      </c>
    </row>
    <row r="40" spans="2:19" ht="24.95" customHeight="1">
      <c r="B40" s="18"/>
      <c r="C40" s="10"/>
      <c r="D40" s="28" t="s">
        <v>41</v>
      </c>
      <c r="E40" s="22"/>
      <c r="F40" s="12">
        <f>+january!F40+february!F40+march!F40+april!F40+may!F40+june!F40</f>
        <v>114559500</v>
      </c>
      <c r="G40" s="12">
        <f>+january!G40+february!G40+march!G40+april!G40+may!G40+june!G40</f>
        <v>112805106.86000001</v>
      </c>
      <c r="H40" s="12">
        <f t="shared" si="11"/>
        <v>1754393.1399999857</v>
      </c>
      <c r="I40" s="13"/>
      <c r="J40" s="12">
        <f>+january!J40+february!J40+march!J40+april!J40+may!J40+june!J40</f>
        <v>0</v>
      </c>
      <c r="K40" s="12">
        <f>+january!K40+february!K40+march!K40+april!K40+may!K40+june!K40</f>
        <v>0</v>
      </c>
      <c r="L40" s="12">
        <f t="shared" si="12"/>
        <v>0</v>
      </c>
      <c r="M40" s="12"/>
      <c r="N40" s="12">
        <f t="shared" si="9"/>
        <v>114559500</v>
      </c>
      <c r="O40" s="12">
        <f t="shared" si="10"/>
        <v>112805106.86000001</v>
      </c>
      <c r="P40" s="14">
        <f t="shared" si="13"/>
        <v>1754393.1399999857</v>
      </c>
      <c r="Q40" s="17">
        <f t="shared" si="6"/>
        <v>0.98468574723178792</v>
      </c>
    </row>
    <row r="41" spans="2:19" ht="24.95" customHeight="1">
      <c r="B41" s="18"/>
      <c r="C41" s="10"/>
      <c r="D41" s="28" t="s">
        <v>42</v>
      </c>
      <c r="E41" s="22"/>
      <c r="F41" s="12">
        <f>+january!F41+february!F41+march!F41+april!F41+may!F41+june!F41</f>
        <v>275257500</v>
      </c>
      <c r="G41" s="12">
        <f>+january!G41+february!G41+march!G41+april!G41+may!G41+june!G41</f>
        <v>274176765.55000001</v>
      </c>
      <c r="H41" s="12">
        <f t="shared" si="11"/>
        <v>1080734.4499999881</v>
      </c>
      <c r="I41" s="13"/>
      <c r="J41" s="12">
        <f>+january!J41+february!J41+march!J41+april!J41+may!J41+june!J41</f>
        <v>500000</v>
      </c>
      <c r="K41" s="12">
        <f>+january!K41+february!K41+march!K41+april!K41+may!K41+june!K41</f>
        <v>500000</v>
      </c>
      <c r="L41" s="12">
        <f t="shared" si="12"/>
        <v>0</v>
      </c>
      <c r="M41" s="12"/>
      <c r="N41" s="12">
        <f t="shared" si="9"/>
        <v>275757500</v>
      </c>
      <c r="O41" s="12">
        <f t="shared" si="10"/>
        <v>274676765.55000001</v>
      </c>
      <c r="P41" s="14">
        <f t="shared" si="13"/>
        <v>1080734.4499999881</v>
      </c>
      <c r="Q41" s="17">
        <f t="shared" si="6"/>
        <v>0.99608085201671759</v>
      </c>
    </row>
    <row r="42" spans="2:19" ht="24.95" customHeight="1">
      <c r="B42" s="18"/>
      <c r="C42" s="10"/>
      <c r="D42" s="25" t="s">
        <v>43</v>
      </c>
      <c r="E42" s="22"/>
      <c r="F42" s="12">
        <f>+january!F42+february!F42+march!F42+april!F42+may!F42+june!F42</f>
        <v>219272000</v>
      </c>
      <c r="G42" s="12">
        <f>+january!G42+february!G42+march!G42+april!G42+may!G42+june!G42</f>
        <v>158017283.11000001</v>
      </c>
      <c r="H42" s="12">
        <f t="shared" si="11"/>
        <v>61254716.889999986</v>
      </c>
      <c r="I42" s="13">
        <v>2208000</v>
      </c>
      <c r="J42" s="12">
        <f>+january!J42+february!J42+march!J42+april!J42+may!J42+june!J42</f>
        <v>0</v>
      </c>
      <c r="K42" s="12">
        <f>+january!K42+february!K42+march!K42+april!K42+may!K42+june!K42</f>
        <v>0</v>
      </c>
      <c r="L42" s="12">
        <f t="shared" si="12"/>
        <v>0</v>
      </c>
      <c r="M42" s="12"/>
      <c r="N42" s="12">
        <f t="shared" si="9"/>
        <v>219272000</v>
      </c>
      <c r="O42" s="12">
        <f t="shared" si="10"/>
        <v>158017283.11000001</v>
      </c>
      <c r="P42" s="14">
        <f t="shared" si="13"/>
        <v>61254716.889999986</v>
      </c>
      <c r="Q42" s="17">
        <f t="shared" si="6"/>
        <v>0.72064505778211541</v>
      </c>
    </row>
    <row r="43" spans="2:19" ht="24.95" customHeight="1">
      <c r="B43" s="18"/>
      <c r="C43" s="10"/>
      <c r="D43" s="27" t="s">
        <v>44</v>
      </c>
      <c r="E43" s="22"/>
      <c r="F43" s="12">
        <f>+january!F43+february!F43+march!F43+april!F43+may!F43+june!F43</f>
        <v>318328500</v>
      </c>
      <c r="G43" s="12">
        <f>+january!G43+february!G43+march!G43+april!G43+may!G43+june!G43</f>
        <v>203646673.25</v>
      </c>
      <c r="H43" s="12">
        <f t="shared" si="11"/>
        <v>114681826.75</v>
      </c>
      <c r="I43" s="13"/>
      <c r="J43" s="12">
        <f>+january!J43+february!J43+march!J43+april!J43+may!J43+june!J43</f>
        <v>12456701.1</v>
      </c>
      <c r="K43" s="12">
        <f>+january!K43+february!K43+march!K43+april!K43+may!K43+june!K43</f>
        <v>12402016.689999999</v>
      </c>
      <c r="L43" s="12">
        <f t="shared" si="12"/>
        <v>54684.410000000149</v>
      </c>
      <c r="M43" s="12"/>
      <c r="N43" s="12">
        <f t="shared" si="9"/>
        <v>330785201.10000002</v>
      </c>
      <c r="O43" s="12">
        <f t="shared" si="10"/>
        <v>216048689.94</v>
      </c>
      <c r="P43" s="14">
        <f t="shared" si="13"/>
        <v>114736511.16000003</v>
      </c>
      <c r="Q43" s="17">
        <f t="shared" si="6"/>
        <v>0.65313892284644892</v>
      </c>
    </row>
    <row r="44" spans="2:19" ht="24.95" customHeight="1">
      <c r="B44" s="18"/>
      <c r="C44" s="10"/>
      <c r="D44" s="28" t="s">
        <v>45</v>
      </c>
      <c r="E44" s="22"/>
      <c r="F44" s="12">
        <f>+january!F44+february!F44+march!F44+april!F44+may!F44+june!F44</f>
        <v>216676000</v>
      </c>
      <c r="G44" s="12">
        <f>+january!G44+february!G44+march!G44+april!G44+may!G44+june!G44</f>
        <v>142113576.32999998</v>
      </c>
      <c r="H44" s="12">
        <f t="shared" si="11"/>
        <v>74562423.670000017</v>
      </c>
      <c r="I44" s="13"/>
      <c r="J44" s="12">
        <f>+january!J44+february!J44+march!J44+april!J44+may!J44+june!J44</f>
        <v>0</v>
      </c>
      <c r="K44" s="12">
        <f>+january!K44+february!K44+march!K44+april!K44+may!K44+june!K44</f>
        <v>0</v>
      </c>
      <c r="L44" s="12">
        <f t="shared" si="12"/>
        <v>0</v>
      </c>
      <c r="M44" s="12"/>
      <c r="N44" s="12">
        <f t="shared" si="9"/>
        <v>216676000</v>
      </c>
      <c r="O44" s="12">
        <f t="shared" si="10"/>
        <v>142113576.32999998</v>
      </c>
      <c r="P44" s="14">
        <f t="shared" si="13"/>
        <v>74562423.670000017</v>
      </c>
      <c r="Q44" s="17">
        <f t="shared" si="6"/>
        <v>0.6558805605143162</v>
      </c>
    </row>
    <row r="45" spans="2:19" ht="24.95" customHeight="1">
      <c r="B45" s="18"/>
      <c r="C45" s="10"/>
      <c r="D45" s="29" t="s">
        <v>46</v>
      </c>
      <c r="E45" s="22"/>
      <c r="F45" s="12">
        <f>+january!F45+february!F45+march!F45+april!F45+may!F45+june!F45</f>
        <v>332857000</v>
      </c>
      <c r="G45" s="12">
        <f>+january!G45+february!G45+march!G45+april!G45+may!G45+june!G45</f>
        <v>291740124.75</v>
      </c>
      <c r="H45" s="12">
        <f>+F45-G45</f>
        <v>41116875.25</v>
      </c>
      <c r="I45" s="13"/>
      <c r="J45" s="12">
        <f>+january!J45+february!J45+march!J45+april!J45+may!J45+june!J45</f>
        <v>0</v>
      </c>
      <c r="K45" s="12">
        <f>+january!K45+february!K45+march!K45+april!K45+may!K45+june!K45</f>
        <v>0</v>
      </c>
      <c r="L45" s="12">
        <f>+J45-K45</f>
        <v>0</v>
      </c>
      <c r="M45" s="12"/>
      <c r="N45" s="12">
        <f t="shared" si="9"/>
        <v>332857000</v>
      </c>
      <c r="O45" s="12">
        <f t="shared" si="10"/>
        <v>291740124.75</v>
      </c>
      <c r="P45" s="14">
        <f t="shared" si="13"/>
        <v>41116875.25</v>
      </c>
      <c r="Q45" s="17">
        <f t="shared" si="6"/>
        <v>0.87647285395830643</v>
      </c>
      <c r="S45" s="30"/>
    </row>
    <row r="46" spans="2:19" ht="24.95" customHeight="1">
      <c r="B46" s="18"/>
      <c r="C46" s="10"/>
      <c r="D46" s="25" t="s">
        <v>47</v>
      </c>
      <c r="E46" s="22"/>
      <c r="F46" s="12">
        <f>+january!F46+february!F46+march!F46+april!F46+may!F46+june!F46</f>
        <v>260264000</v>
      </c>
      <c r="G46" s="12">
        <f>+january!G46+february!G46+march!G46+april!G46+may!G46+june!G46</f>
        <v>107588869.72000001</v>
      </c>
      <c r="H46" s="12">
        <f>+F46-G46</f>
        <v>152675130.27999997</v>
      </c>
      <c r="I46" s="13"/>
      <c r="J46" s="12">
        <f>+january!J46+february!J46+march!J46+april!J46+may!J46+june!J46</f>
        <v>0</v>
      </c>
      <c r="K46" s="12">
        <f>+january!K46+february!K46+march!K46+april!K46+may!K46+june!K46</f>
        <v>0</v>
      </c>
      <c r="L46" s="12">
        <f>+J46-K46</f>
        <v>0</v>
      </c>
      <c r="M46" s="12"/>
      <c r="N46" s="12">
        <f t="shared" si="9"/>
        <v>260264000</v>
      </c>
      <c r="O46" s="12">
        <f t="shared" si="10"/>
        <v>107588869.72000001</v>
      </c>
      <c r="P46" s="14">
        <f t="shared" si="13"/>
        <v>152675130.27999997</v>
      </c>
      <c r="Q46" s="17">
        <f t="shared" si="6"/>
        <v>0.41338360172747679</v>
      </c>
    </row>
    <row r="47" spans="2:19" ht="27.75" customHeight="1">
      <c r="B47" s="18"/>
      <c r="C47" s="10"/>
      <c r="D47" s="10"/>
      <c r="E47" s="22"/>
      <c r="F47" s="12">
        <f>+january!F47+february!F47+march!F47+april!F47+may!F47+june!F47</f>
        <v>0</v>
      </c>
      <c r="G47" s="12">
        <f>+january!G47+february!G47+march!G47+april!G47+may!G47+june!G47</f>
        <v>0</v>
      </c>
      <c r="H47" s="12"/>
      <c r="I47" s="13"/>
      <c r="J47" s="12">
        <f>+january!J47+february!J47+march!J47+april!J47+may!J47+june!J47</f>
        <v>0</v>
      </c>
      <c r="K47" s="12">
        <f>+january!K47+february!K47+march!K47+april!K47+may!K47+june!K47</f>
        <v>0</v>
      </c>
      <c r="L47" s="12"/>
      <c r="M47" s="12"/>
      <c r="N47" s="12"/>
      <c r="O47" s="12"/>
      <c r="P47" s="14"/>
      <c r="Q47" s="17"/>
    </row>
    <row r="48" spans="2:19" ht="24.95" customHeight="1">
      <c r="B48" s="18"/>
      <c r="C48" s="24" t="s">
        <v>48</v>
      </c>
      <c r="D48" s="10"/>
      <c r="E48" s="22"/>
      <c r="F48" s="12">
        <f>+january!F48+february!F48+march!F48+april!F48+may!F48+june!F48</f>
        <v>0</v>
      </c>
      <c r="G48" s="12">
        <f>+january!G48+february!G48+march!G48+april!G48+may!G48+june!G48</f>
        <v>0</v>
      </c>
      <c r="H48" s="12"/>
      <c r="I48" s="13"/>
      <c r="J48" s="12">
        <f>+january!J48+february!J48+march!J48+april!J48+may!J48+june!J48</f>
        <v>0</v>
      </c>
      <c r="K48" s="12">
        <f>+january!K48+february!K48+march!K48+april!K48+may!K48+june!K48</f>
        <v>0</v>
      </c>
      <c r="L48" s="12"/>
      <c r="M48" s="12"/>
      <c r="N48" s="12"/>
      <c r="O48" s="12"/>
      <c r="P48" s="14"/>
      <c r="Q48" s="17"/>
    </row>
    <row r="49" spans="2:17" ht="24.95" customHeight="1">
      <c r="B49" s="18"/>
      <c r="C49" s="10"/>
      <c r="D49" s="10"/>
      <c r="E49" s="10" t="s">
        <v>49</v>
      </c>
      <c r="F49" s="12">
        <f>+january!F49+february!F49+march!F49+april!F49+may!F49+june!F49</f>
        <v>91398000</v>
      </c>
      <c r="G49" s="12">
        <f>+january!G49+february!G49+march!G49+april!G49+may!G49+june!G49</f>
        <v>66914635.160000004</v>
      </c>
      <c r="H49" s="12">
        <f>+F49-G49</f>
        <v>24483364.839999996</v>
      </c>
      <c r="I49" s="13"/>
      <c r="J49" s="12">
        <f>+january!J49+february!J49+march!J49+april!J49+may!J49+june!J49</f>
        <v>0</v>
      </c>
      <c r="K49" s="12">
        <f>+january!K49+february!K49+march!K49+april!K49+may!K49+june!K49</f>
        <v>0</v>
      </c>
      <c r="L49" s="12">
        <f>+J49-K49</f>
        <v>0</v>
      </c>
      <c r="M49" s="12"/>
      <c r="N49" s="12">
        <f>+F49+J49</f>
        <v>91398000</v>
      </c>
      <c r="O49" s="12">
        <f>+G49+K49</f>
        <v>66914635.160000004</v>
      </c>
      <c r="P49" s="14">
        <f>+N49-O49</f>
        <v>24483364.839999996</v>
      </c>
      <c r="Q49" s="17">
        <f t="shared" si="6"/>
        <v>0.73212362589991031</v>
      </c>
    </row>
    <row r="50" spans="2:17" ht="24.95" customHeight="1">
      <c r="B50" s="18"/>
      <c r="C50" s="10"/>
      <c r="D50" s="10"/>
      <c r="E50" s="10" t="s">
        <v>50</v>
      </c>
      <c r="F50" s="12">
        <f>+january!F50+february!F50+march!F50+april!F50+may!F50+june!F50</f>
        <v>216421000</v>
      </c>
      <c r="G50" s="12">
        <f>+january!G50+february!G50+march!G50+april!G50+may!G50+june!G50</f>
        <v>145049253.75</v>
      </c>
      <c r="H50" s="12">
        <f>+F50-G50</f>
        <v>71371746.25</v>
      </c>
      <c r="I50" s="13"/>
      <c r="J50" s="12">
        <f>+january!J50+february!J50+march!J50+april!J50+may!J50+june!J50</f>
        <v>0</v>
      </c>
      <c r="K50" s="12">
        <f>+january!K50+february!K50+march!K50+april!K50+may!K50+june!K50</f>
        <v>0</v>
      </c>
      <c r="L50" s="12">
        <f>+J50-K50</f>
        <v>0</v>
      </c>
      <c r="M50" s="12"/>
      <c r="N50" s="12">
        <f>+F50+J50</f>
        <v>216421000</v>
      </c>
      <c r="O50" s="12">
        <f>+G50+K50</f>
        <v>145049253.75</v>
      </c>
      <c r="P50" s="14">
        <f>+N50-O50</f>
        <v>71371746.25</v>
      </c>
      <c r="Q50" s="17">
        <f t="shared" si="6"/>
        <v>0.67021801835311734</v>
      </c>
    </row>
    <row r="51" spans="2:17" ht="27.75" customHeight="1">
      <c r="B51" s="18"/>
      <c r="C51" s="10"/>
      <c r="D51" s="10"/>
      <c r="E51" s="31" t="s">
        <v>51</v>
      </c>
      <c r="F51" s="32">
        <f t="shared" ref="F51:G51" si="14">SUM(F13:F48)</f>
        <v>5634122968.3599997</v>
      </c>
      <c r="G51" s="32">
        <f t="shared" si="14"/>
        <v>4528814903.7493753</v>
      </c>
      <c r="H51" s="32">
        <f t="shared" ref="H51:I51" si="15">SUM(H13:H48)</f>
        <v>1105308064.6106248</v>
      </c>
      <c r="I51" s="32">
        <f t="shared" si="15"/>
        <v>2208000</v>
      </c>
      <c r="J51" s="32">
        <f t="shared" ref="J51:K51" si="16">SUM(J13:J48)</f>
        <v>227016919.53</v>
      </c>
      <c r="K51" s="32">
        <f t="shared" si="16"/>
        <v>225490984.09</v>
      </c>
      <c r="L51" s="32">
        <f>SUM(L13:L48)</f>
        <v>1525935.4400000013</v>
      </c>
      <c r="M51" s="32">
        <f t="shared" ref="M51:P51" si="17">SUM(M13:M48)</f>
        <v>0</v>
      </c>
      <c r="N51" s="32">
        <f t="shared" si="17"/>
        <v>5861139887.8900003</v>
      </c>
      <c r="O51" s="32">
        <f t="shared" si="17"/>
        <v>4754305887.8393755</v>
      </c>
      <c r="P51" s="32">
        <f t="shared" si="17"/>
        <v>1106834000.0506251</v>
      </c>
      <c r="Q51" s="17">
        <f t="shared" si="6"/>
        <v>0.81115721152850984</v>
      </c>
    </row>
    <row r="52" spans="2:17" ht="27.75" customHeight="1">
      <c r="B52" s="18"/>
      <c r="C52" s="10"/>
      <c r="D52" s="10"/>
      <c r="E52" s="31"/>
      <c r="F52" s="12">
        <f>+january!F52+february!F52+march!F52+april!F52+may!F52</f>
        <v>0</v>
      </c>
      <c r="G52" s="12">
        <f>+january!G52+february!G52+march!G52+april!G52+may!G52</f>
        <v>0</v>
      </c>
      <c r="H52" s="32"/>
      <c r="I52" s="33"/>
      <c r="J52" s="12">
        <f>+january!J52+february!J52+march!J52+april!J52+may!J52</f>
        <v>0</v>
      </c>
      <c r="K52" s="12">
        <f>+january!K52+february!K52+march!K52+april!K52+may!K52</f>
        <v>0</v>
      </c>
      <c r="L52" s="32"/>
      <c r="M52" s="32"/>
      <c r="N52" s="32"/>
      <c r="O52" s="32"/>
      <c r="P52" s="34"/>
      <c r="Q52" s="17"/>
    </row>
    <row r="53" spans="2:17" ht="24.95" customHeight="1">
      <c r="B53" s="18"/>
      <c r="C53" s="24" t="s">
        <v>52</v>
      </c>
      <c r="D53" s="10"/>
      <c r="E53" s="22"/>
      <c r="F53" s="12">
        <f t="shared" ref="F53:G53" si="18">SUM(F55:F80)</f>
        <v>2267405040.5299997</v>
      </c>
      <c r="G53" s="12">
        <f t="shared" si="18"/>
        <v>1916154608.5399997</v>
      </c>
      <c r="H53" s="12">
        <f t="shared" ref="H53:I53" si="19">SUM(H55:H80)</f>
        <v>351250431.99000001</v>
      </c>
      <c r="I53" s="12">
        <f t="shared" si="19"/>
        <v>0</v>
      </c>
      <c r="J53" s="12">
        <f t="shared" ref="J53:K53" si="20">SUM(J55:J80)</f>
        <v>155103734</v>
      </c>
      <c r="K53" s="12">
        <f t="shared" si="20"/>
        <v>154690832.48999998</v>
      </c>
      <c r="L53" s="12">
        <f>SUM(L55:L80)</f>
        <v>412901.51000000956</v>
      </c>
      <c r="M53" s="12">
        <f t="shared" ref="M53:P53" si="21">SUM(M55:M80)</f>
        <v>0</v>
      </c>
      <c r="N53" s="12">
        <f t="shared" si="21"/>
        <v>2422508774.5299997</v>
      </c>
      <c r="O53" s="12">
        <f t="shared" si="21"/>
        <v>2070845441.0299997</v>
      </c>
      <c r="P53" s="14">
        <f t="shared" si="21"/>
        <v>351663333.5</v>
      </c>
      <c r="Q53" s="17">
        <f>+O53/N53</f>
        <v>0.85483506305638557</v>
      </c>
    </row>
    <row r="54" spans="2:17" ht="24.95" customHeight="1">
      <c r="B54" s="18"/>
      <c r="C54" s="20" t="s">
        <v>53</v>
      </c>
      <c r="D54" s="20"/>
      <c r="E54" s="10"/>
      <c r="F54" s="12"/>
      <c r="G54" s="12"/>
      <c r="H54" s="12">
        <f t="shared" ref="H54:H59" si="22">+F54-G54</f>
        <v>0</v>
      </c>
      <c r="I54" s="13"/>
      <c r="J54" s="12"/>
      <c r="K54" s="12"/>
      <c r="L54" s="12">
        <f t="shared" ref="L54:L59" si="23">+J54-K54</f>
        <v>0</v>
      </c>
      <c r="M54" s="12"/>
      <c r="N54" s="12"/>
      <c r="O54" s="12"/>
      <c r="P54" s="14"/>
      <c r="Q54" s="17"/>
    </row>
    <row r="55" spans="2:17" ht="24.95" customHeight="1">
      <c r="B55" s="18"/>
      <c r="C55" s="20"/>
      <c r="D55" s="20"/>
      <c r="E55" s="10" t="s">
        <v>54</v>
      </c>
      <c r="F55" s="12">
        <f>+january!F55+february!F55+march!F55+april!F55+may!F55+june!F55</f>
        <v>290431000</v>
      </c>
      <c r="G55" s="12">
        <f>+january!G55+february!G55+march!G55+april!G55+may!G55+june!G55</f>
        <v>165606336.38999999</v>
      </c>
      <c r="H55" s="12">
        <f t="shared" si="22"/>
        <v>124824663.61000001</v>
      </c>
      <c r="I55" s="13"/>
      <c r="J55" s="12">
        <f>+january!J55+february!J55+march!J55+april!J55+may!J55+june!J55</f>
        <v>0</v>
      </c>
      <c r="K55" s="12">
        <f>+january!K55+february!K55+march!K55+april!K55+may!K55+june!K55</f>
        <v>0</v>
      </c>
      <c r="L55" s="12">
        <f t="shared" si="23"/>
        <v>0</v>
      </c>
      <c r="M55" s="12"/>
      <c r="N55" s="12">
        <f t="shared" ref="N55:O59" si="24">+F55+J55</f>
        <v>290431000</v>
      </c>
      <c r="O55" s="12">
        <f t="shared" si="24"/>
        <v>165606336.38999999</v>
      </c>
      <c r="P55" s="14">
        <f>+N55-O55</f>
        <v>124824663.61000001</v>
      </c>
      <c r="Q55" s="17">
        <f t="shared" si="6"/>
        <v>0.57020888400342928</v>
      </c>
    </row>
    <row r="56" spans="2:17" ht="30" customHeight="1">
      <c r="B56" s="18"/>
      <c r="C56" s="10"/>
      <c r="D56" s="10"/>
      <c r="E56" s="21" t="s">
        <v>55</v>
      </c>
      <c r="F56" s="12">
        <f>+january!F56+february!F56+march!F56+april!F56+may!F56+june!F56</f>
        <v>199070553</v>
      </c>
      <c r="G56" s="12">
        <f>+january!G56+february!G56+march!G56+april!G56+may!G56+june!G56</f>
        <v>198364271.44999999</v>
      </c>
      <c r="H56" s="12">
        <f t="shared" si="22"/>
        <v>706281.55000001192</v>
      </c>
      <c r="I56" s="13"/>
      <c r="J56" s="12">
        <f>+january!J56+february!J56+march!J56+april!J56+may!J56+june!J56</f>
        <v>0</v>
      </c>
      <c r="K56" s="12">
        <f>+january!K56+february!K56+march!K56+april!K56+may!K56+june!K56</f>
        <v>0</v>
      </c>
      <c r="L56" s="12">
        <f t="shared" si="23"/>
        <v>0</v>
      </c>
      <c r="M56" s="38"/>
      <c r="N56" s="38">
        <f t="shared" si="24"/>
        <v>199070553</v>
      </c>
      <c r="O56" s="38">
        <f t="shared" si="24"/>
        <v>198364271.44999999</v>
      </c>
      <c r="P56" s="40">
        <f>+N56-O56</f>
        <v>706281.55000001192</v>
      </c>
      <c r="Q56" s="17">
        <f t="shared" si="6"/>
        <v>0.99645210434513631</v>
      </c>
    </row>
    <row r="57" spans="2:17" ht="30" customHeight="1">
      <c r="B57" s="18"/>
      <c r="C57" s="10"/>
      <c r="D57" s="10"/>
      <c r="E57" s="21" t="s">
        <v>56</v>
      </c>
      <c r="F57" s="12">
        <f>+january!F57+february!F57+march!F57+april!F57+may!F57+june!F57</f>
        <v>63226000</v>
      </c>
      <c r="G57" s="12">
        <f>+january!G57+february!G57+march!G57+april!G57+may!G57+june!G57</f>
        <v>26105917.809999999</v>
      </c>
      <c r="H57" s="12">
        <f t="shared" si="22"/>
        <v>37120082.189999998</v>
      </c>
      <c r="I57" s="13"/>
      <c r="J57" s="12">
        <f>+january!J57+february!J57+march!J57+april!J57+may!J57+june!J57</f>
        <v>0</v>
      </c>
      <c r="K57" s="12">
        <f>+january!K57+february!K57+march!K57+april!K57+may!K57+june!K57</f>
        <v>0</v>
      </c>
      <c r="L57" s="12">
        <f t="shared" si="23"/>
        <v>0</v>
      </c>
      <c r="M57" s="12"/>
      <c r="N57" s="12">
        <f t="shared" si="24"/>
        <v>63226000</v>
      </c>
      <c r="O57" s="12">
        <f t="shared" si="24"/>
        <v>26105917.809999999</v>
      </c>
      <c r="P57" s="14">
        <f>+N57-O57</f>
        <v>37120082.189999998</v>
      </c>
      <c r="Q57" s="17">
        <f t="shared" si="6"/>
        <v>0.41289845648941886</v>
      </c>
    </row>
    <row r="58" spans="2:17" ht="24.95" customHeight="1">
      <c r="B58" s="18"/>
      <c r="C58" s="10"/>
      <c r="D58" s="10"/>
      <c r="E58" s="28" t="s">
        <v>57</v>
      </c>
      <c r="F58" s="12">
        <f>+january!F58+february!F58+march!F58+april!F58+may!F58+june!F58</f>
        <v>12302000</v>
      </c>
      <c r="G58" s="12">
        <f>+january!G58+february!G58+march!G58+april!G58+may!G58+june!G58</f>
        <v>9599311.3699999992</v>
      </c>
      <c r="H58" s="12">
        <f t="shared" si="22"/>
        <v>2702688.6300000008</v>
      </c>
      <c r="I58" s="13"/>
      <c r="J58" s="12">
        <f>+january!J58+february!J58+march!J58+april!J58+may!J58+june!J58</f>
        <v>0</v>
      </c>
      <c r="K58" s="12">
        <f>+january!K58+february!K58+march!K58+april!K58+may!K58+june!K58</f>
        <v>0</v>
      </c>
      <c r="L58" s="12">
        <f t="shared" si="23"/>
        <v>0</v>
      </c>
      <c r="M58" s="12"/>
      <c r="N58" s="12">
        <f t="shared" si="24"/>
        <v>12302000</v>
      </c>
      <c r="O58" s="12">
        <f t="shared" si="24"/>
        <v>9599311.3699999992</v>
      </c>
      <c r="P58" s="14">
        <f>+N58-O58</f>
        <v>2702688.6300000008</v>
      </c>
      <c r="Q58" s="17">
        <f t="shared" si="6"/>
        <v>0.7803049398471793</v>
      </c>
    </row>
    <row r="59" spans="2:17" ht="29.25" customHeight="1">
      <c r="B59" s="18"/>
      <c r="C59" s="10"/>
      <c r="D59" s="10"/>
      <c r="E59" s="21" t="s">
        <v>58</v>
      </c>
      <c r="F59" s="12">
        <f>+january!F59+february!F59+march!F59+april!F59+may!F59+june!F59</f>
        <v>15531000</v>
      </c>
      <c r="G59" s="12">
        <f>+january!G59+february!G59+march!G59+april!G59+may!G59+june!G59</f>
        <v>15500706</v>
      </c>
      <c r="H59" s="12">
        <f t="shared" si="22"/>
        <v>30294</v>
      </c>
      <c r="I59" s="13"/>
      <c r="J59" s="12">
        <f>+january!J59+february!J59+march!J59+april!J59+may!J59+june!J59</f>
        <v>0</v>
      </c>
      <c r="K59" s="12">
        <f>+january!K59+february!K59+march!K59+april!K59+may!K59+june!K59</f>
        <v>0</v>
      </c>
      <c r="L59" s="12">
        <f t="shared" si="23"/>
        <v>0</v>
      </c>
      <c r="M59" s="12"/>
      <c r="N59" s="12">
        <f t="shared" si="24"/>
        <v>15531000</v>
      </c>
      <c r="O59" s="12">
        <f t="shared" si="24"/>
        <v>15500706</v>
      </c>
      <c r="P59" s="14">
        <f>+N59-O59</f>
        <v>30294</v>
      </c>
      <c r="Q59" s="17">
        <f t="shared" si="6"/>
        <v>0.99804944948812058</v>
      </c>
    </row>
    <row r="60" spans="2:17" ht="24.95" customHeight="1">
      <c r="B60" s="18"/>
      <c r="C60" s="10"/>
      <c r="D60" s="10"/>
      <c r="E60" s="21"/>
      <c r="F60" s="12">
        <f>+january!F60+february!F60+march!F60+april!F60+may!F60+june!F60</f>
        <v>0</v>
      </c>
      <c r="G60" s="12">
        <f>+january!G60+february!G60+march!G60+april!G60+may!G60+june!G60</f>
        <v>0</v>
      </c>
      <c r="H60" s="12"/>
      <c r="I60" s="13"/>
      <c r="J60" s="12">
        <f>+january!J60+february!J60+march!J60+april!J60+may!J60+june!J60</f>
        <v>0</v>
      </c>
      <c r="K60" s="12">
        <f>+january!K60+february!K60+march!K60+april!K60+may!K60+june!K60</f>
        <v>0</v>
      </c>
      <c r="L60" s="12"/>
      <c r="M60" s="12"/>
      <c r="N60" s="12"/>
      <c r="O60" s="12"/>
      <c r="P60" s="14"/>
      <c r="Q60" s="17"/>
    </row>
    <row r="61" spans="2:17" ht="24.95" customHeight="1">
      <c r="B61" s="18"/>
      <c r="C61" s="20" t="s">
        <v>59</v>
      </c>
      <c r="D61" s="20"/>
      <c r="E61" s="10"/>
      <c r="F61" s="12">
        <f>+january!F61+february!F61+march!F61+april!F61+may!F61+june!F61</f>
        <v>0</v>
      </c>
      <c r="G61" s="12">
        <f>+january!G61+february!G61+march!G61+april!G61+may!G61+june!G61</f>
        <v>0</v>
      </c>
      <c r="H61" s="12"/>
      <c r="I61" s="13"/>
      <c r="J61" s="12">
        <f>+january!J61+february!J61+march!J61+april!J61+may!J61+june!J61</f>
        <v>0</v>
      </c>
      <c r="K61" s="12">
        <f>+january!K61+february!K61+march!K61+april!K61+may!K61+june!K61</f>
        <v>0</v>
      </c>
      <c r="L61" s="12"/>
      <c r="M61" s="12"/>
      <c r="N61" s="12"/>
      <c r="O61" s="12"/>
      <c r="P61" s="14"/>
      <c r="Q61" s="17"/>
    </row>
    <row r="62" spans="2:17" ht="24.95" customHeight="1">
      <c r="B62" s="18"/>
      <c r="C62" s="20"/>
      <c r="D62" s="20"/>
      <c r="E62" s="10" t="s">
        <v>60</v>
      </c>
      <c r="F62" s="12">
        <f>+january!F62+february!F62+march!F62+april!F62+may!F62+june!F62</f>
        <v>131489630</v>
      </c>
      <c r="G62" s="12">
        <f>+january!G62+february!G62+march!G62+april!G62+may!G62+june!G62</f>
        <v>129884600.98999999</v>
      </c>
      <c r="H62" s="12">
        <f>+F62-G62</f>
        <v>1605029.0100000054</v>
      </c>
      <c r="I62" s="13"/>
      <c r="J62" s="12">
        <f>+january!J62+february!J62+march!J62+april!J62+may!J62+june!J62</f>
        <v>57832066</v>
      </c>
      <c r="K62" s="12">
        <f>+january!K62+february!K62+march!K62+april!K62+may!K62+june!K62</f>
        <v>57832066</v>
      </c>
      <c r="L62" s="12">
        <f>+J62-K62</f>
        <v>0</v>
      </c>
      <c r="M62" s="12"/>
      <c r="N62" s="12">
        <f t="shared" ref="N62:O65" si="25">+F62+J62</f>
        <v>189321696</v>
      </c>
      <c r="O62" s="12">
        <f t="shared" si="25"/>
        <v>187716666.99000001</v>
      </c>
      <c r="P62" s="14">
        <f>+N62-O62</f>
        <v>1605029.0099999905</v>
      </c>
      <c r="Q62" s="17">
        <f t="shared" si="6"/>
        <v>0.99152221301672683</v>
      </c>
    </row>
    <row r="63" spans="2:17" ht="30" customHeight="1">
      <c r="B63" s="18"/>
      <c r="C63" s="10"/>
      <c r="D63" s="10"/>
      <c r="E63" s="21" t="s">
        <v>61</v>
      </c>
      <c r="F63" s="12">
        <f>+january!F63+february!F63+march!F63+april!F63+may!F63+june!F63</f>
        <v>104097013.53</v>
      </c>
      <c r="G63" s="12">
        <f>+january!G63+february!G63+march!G63+april!G63+may!G63+june!G63</f>
        <v>104097013.53</v>
      </c>
      <c r="H63" s="12">
        <f>+F63-G63</f>
        <v>0</v>
      </c>
      <c r="I63" s="13"/>
      <c r="J63" s="12">
        <f>+january!J63+february!J63+march!J63+april!J63+may!J63+june!J63</f>
        <v>0</v>
      </c>
      <c r="K63" s="12">
        <f>+january!K63+february!K63+march!K63+april!K63+may!K63+june!K63</f>
        <v>0</v>
      </c>
      <c r="L63" s="12">
        <f>+J63-K63</f>
        <v>0</v>
      </c>
      <c r="M63" s="12"/>
      <c r="N63" s="12">
        <f t="shared" si="25"/>
        <v>104097013.53</v>
      </c>
      <c r="O63" s="12">
        <f t="shared" si="25"/>
        <v>104097013.53</v>
      </c>
      <c r="P63" s="14">
        <f>+N63-O63</f>
        <v>0</v>
      </c>
      <c r="Q63" s="17">
        <f t="shared" si="6"/>
        <v>1</v>
      </c>
    </row>
    <row r="64" spans="2:17" ht="30" customHeight="1">
      <c r="B64" s="18"/>
      <c r="C64" s="10"/>
      <c r="D64" s="10"/>
      <c r="E64" s="22" t="s">
        <v>62</v>
      </c>
      <c r="F64" s="12">
        <f>+january!F64+february!F64+march!F64+april!F64+may!F64+june!F64</f>
        <v>152369274</v>
      </c>
      <c r="G64" s="12">
        <f>+january!G64+february!G64+march!G64+april!G64+may!G64+june!G64</f>
        <v>152368851.92000002</v>
      </c>
      <c r="H64" s="12">
        <f>+F64-G64</f>
        <v>422.0799999833107</v>
      </c>
      <c r="I64" s="13"/>
      <c r="J64" s="12">
        <f>+january!J64+february!J64+march!J64+april!J64+may!J64+june!J64</f>
        <v>18800000</v>
      </c>
      <c r="K64" s="12">
        <f>+january!K64+february!K64+march!K64+april!K64+may!K64+june!K64</f>
        <v>18800000</v>
      </c>
      <c r="L64" s="12">
        <f>+J64-K64</f>
        <v>0</v>
      </c>
      <c r="M64" s="12"/>
      <c r="N64" s="12">
        <f t="shared" si="25"/>
        <v>171169274</v>
      </c>
      <c r="O64" s="12">
        <f t="shared" si="25"/>
        <v>171168851.92000002</v>
      </c>
      <c r="P64" s="14">
        <f>+N64-O64</f>
        <v>422.0799999833107</v>
      </c>
      <c r="Q64" s="17">
        <f t="shared" si="6"/>
        <v>0.99999753413688031</v>
      </c>
    </row>
    <row r="65" spans="2:17" ht="30" customHeight="1">
      <c r="B65" s="18"/>
      <c r="C65" s="10"/>
      <c r="D65" s="10"/>
      <c r="E65" s="21" t="s">
        <v>63</v>
      </c>
      <c r="F65" s="12">
        <f>+january!F65+february!F65+march!F65+april!F65+may!F65+june!F65</f>
        <v>99949738</v>
      </c>
      <c r="G65" s="12">
        <f>+january!G65+february!G65+march!G65+april!G65+may!G65+june!G65</f>
        <v>99949738</v>
      </c>
      <c r="H65" s="12">
        <f>+F65-G65</f>
        <v>0</v>
      </c>
      <c r="I65" s="13"/>
      <c r="J65" s="12">
        <f>+january!J65+february!J65+march!J65+april!J65+may!J65+june!J65</f>
        <v>0</v>
      </c>
      <c r="K65" s="12">
        <f>+january!K65+february!K65+march!K65+april!K65+may!K65+june!K65</f>
        <v>0</v>
      </c>
      <c r="L65" s="12">
        <f>+J65-K65</f>
        <v>0</v>
      </c>
      <c r="M65" s="12"/>
      <c r="N65" s="12">
        <f t="shared" si="25"/>
        <v>99949738</v>
      </c>
      <c r="O65" s="12">
        <f t="shared" si="25"/>
        <v>99949738</v>
      </c>
      <c r="P65" s="14">
        <f>+N65-O65</f>
        <v>0</v>
      </c>
      <c r="Q65" s="17">
        <f t="shared" si="6"/>
        <v>1</v>
      </c>
    </row>
    <row r="66" spans="2:17" ht="24.95" customHeight="1">
      <c r="B66" s="18"/>
      <c r="C66" s="10"/>
      <c r="D66" s="10"/>
      <c r="E66" s="21"/>
      <c r="F66" s="12">
        <f>+january!F66+february!F66+march!F66+april!F66+may!F66+june!F66</f>
        <v>0</v>
      </c>
      <c r="G66" s="12">
        <f>+january!G66+february!G66+march!G66+april!G66+may!G66+june!G66</f>
        <v>0</v>
      </c>
      <c r="H66" s="12"/>
      <c r="I66" s="13"/>
      <c r="J66" s="12">
        <f>+january!J66+february!J66+march!J66+april!J66+may!J66+june!J66</f>
        <v>0</v>
      </c>
      <c r="K66" s="12">
        <f>+january!K66+february!K66+march!K66+april!K66+may!K66+june!K66</f>
        <v>0</v>
      </c>
      <c r="L66" s="12"/>
      <c r="M66" s="12"/>
      <c r="N66" s="12"/>
      <c r="O66" s="12"/>
      <c r="P66" s="14"/>
      <c r="Q66" s="17"/>
    </row>
    <row r="67" spans="2:17" ht="24.95" customHeight="1">
      <c r="B67" s="18"/>
      <c r="C67" s="20" t="s">
        <v>64</v>
      </c>
      <c r="D67" s="20"/>
      <c r="E67" s="10"/>
      <c r="F67" s="12">
        <f>+january!F67+february!F67+march!F67+april!F67+may!F67+june!F67</f>
        <v>0</v>
      </c>
      <c r="G67" s="12">
        <f>+january!G67+february!G67+march!G67+april!G67+may!G67+june!G67</f>
        <v>0</v>
      </c>
      <c r="H67" s="12"/>
      <c r="I67" s="13"/>
      <c r="J67" s="12">
        <f>+january!J67+february!J67+march!J67+april!J67+may!J67+june!J67</f>
        <v>0</v>
      </c>
      <c r="K67" s="12">
        <f>+january!K67+february!K67+march!K67+april!K67+may!K67+june!K67</f>
        <v>0</v>
      </c>
      <c r="L67" s="12"/>
      <c r="M67" s="12"/>
      <c r="N67" s="12"/>
      <c r="O67" s="12"/>
      <c r="P67" s="14"/>
      <c r="Q67" s="17"/>
    </row>
    <row r="68" spans="2:17" ht="24.95" customHeight="1">
      <c r="B68" s="18"/>
      <c r="C68" s="20"/>
      <c r="D68" s="20"/>
      <c r="E68" s="10" t="s">
        <v>65</v>
      </c>
      <c r="F68" s="12">
        <f>+january!F68+february!F68+march!F68+april!F68+may!F68+june!F68</f>
        <v>200818477</v>
      </c>
      <c r="G68" s="12">
        <f>+january!G68+february!G68+march!G68+april!G68+may!G68+june!G68</f>
        <v>200758435.81</v>
      </c>
      <c r="H68" s="12">
        <f>+F68-G68</f>
        <v>60041.189999997616</v>
      </c>
      <c r="I68" s="13"/>
      <c r="J68" s="12">
        <f>+january!J68+february!J68+march!J68+april!J68+may!J68+june!J68</f>
        <v>75680144</v>
      </c>
      <c r="K68" s="12">
        <f>+january!K68+february!K68+march!K68+april!K68+may!K68+june!K68</f>
        <v>75662830.00999999</v>
      </c>
      <c r="L68" s="12">
        <f>+J68-K68</f>
        <v>17313.990000009537</v>
      </c>
      <c r="M68" s="12"/>
      <c r="N68" s="12">
        <f t="shared" ref="N68:O72" si="26">+F68+J68</f>
        <v>276498621</v>
      </c>
      <c r="O68" s="12">
        <f t="shared" si="26"/>
        <v>276421265.81999999</v>
      </c>
      <c r="P68" s="14">
        <f>+N68-O68</f>
        <v>77355.180000007153</v>
      </c>
      <c r="Q68" s="17">
        <f t="shared" si="6"/>
        <v>0.99972023303508628</v>
      </c>
    </row>
    <row r="69" spans="2:17" ht="30.75" customHeight="1">
      <c r="B69" s="18"/>
      <c r="C69" s="10"/>
      <c r="D69" s="10"/>
      <c r="E69" s="21" t="s">
        <v>66</v>
      </c>
      <c r="F69" s="12">
        <f>+january!F69+february!F69+march!F69+april!F69+may!F69+june!F69</f>
        <v>257400000</v>
      </c>
      <c r="G69" s="12">
        <f>+january!G69+february!G69+march!G69+april!G69+may!G69+june!G69</f>
        <v>170121673.63999999</v>
      </c>
      <c r="H69" s="12">
        <f>+F69-G69</f>
        <v>87278326.360000014</v>
      </c>
      <c r="I69" s="13"/>
      <c r="J69" s="12">
        <f>+january!J69+february!J69+march!J69+april!J69+may!J69+june!J69</f>
        <v>2144073</v>
      </c>
      <c r="K69" s="12">
        <f>+january!K69+february!K69+march!K69+april!K69+may!K69+june!K69</f>
        <v>1748485.48</v>
      </c>
      <c r="L69" s="12">
        <f>+J69-K69</f>
        <v>395587.52</v>
      </c>
      <c r="M69" s="12"/>
      <c r="N69" s="12">
        <f t="shared" si="26"/>
        <v>259544073</v>
      </c>
      <c r="O69" s="12">
        <f t="shared" si="26"/>
        <v>171870159.11999997</v>
      </c>
      <c r="P69" s="14">
        <f>+N69-O69</f>
        <v>87673913.880000025</v>
      </c>
      <c r="Q69" s="17">
        <f t="shared" si="6"/>
        <v>0.66220028503598294</v>
      </c>
    </row>
    <row r="70" spans="2:17" ht="30.75" customHeight="1">
      <c r="B70" s="18"/>
      <c r="C70" s="10"/>
      <c r="D70" s="10"/>
      <c r="E70" s="21" t="s">
        <v>67</v>
      </c>
      <c r="F70" s="12">
        <f>+january!F70+february!F70+march!F70+april!F70+may!F70+june!F70</f>
        <v>71647036</v>
      </c>
      <c r="G70" s="12">
        <f>+january!G70+february!G70+march!G70+april!G70+may!G70+june!G70</f>
        <v>63135327.539999992</v>
      </c>
      <c r="H70" s="12">
        <f>+F70-G70</f>
        <v>8511708.4600000083</v>
      </c>
      <c r="I70" s="13"/>
      <c r="J70" s="12">
        <f>+january!J70+february!J70+march!J70+april!J70+may!J70+june!J70</f>
        <v>0</v>
      </c>
      <c r="K70" s="12">
        <f>+january!K70+february!K70+march!K70+april!K70+may!K70+june!K70</f>
        <v>0</v>
      </c>
      <c r="L70" s="12">
        <f>+J70-K70</f>
        <v>0</v>
      </c>
      <c r="M70" s="12"/>
      <c r="N70" s="12">
        <f t="shared" si="26"/>
        <v>71647036</v>
      </c>
      <c r="O70" s="12">
        <f t="shared" si="26"/>
        <v>63135327.539999992</v>
      </c>
      <c r="P70" s="14">
        <f>+N70-O70</f>
        <v>8511708.4600000083</v>
      </c>
      <c r="Q70" s="17">
        <f t="shared" si="6"/>
        <v>0.88119943356763553</v>
      </c>
    </row>
    <row r="71" spans="2:17" ht="30.75" customHeight="1">
      <c r="B71" s="18"/>
      <c r="C71" s="10"/>
      <c r="D71" s="10"/>
      <c r="E71" s="22" t="s">
        <v>68</v>
      </c>
      <c r="F71" s="12">
        <f>+january!F71+february!F71+march!F71+april!F71+may!F71+june!F71</f>
        <v>64224978</v>
      </c>
      <c r="G71" s="12">
        <f>+january!G71+february!G71+march!G71+april!G71+may!G71+june!G71</f>
        <v>41307900.850000001</v>
      </c>
      <c r="H71" s="12">
        <f>+F71-G71</f>
        <v>22917077.149999999</v>
      </c>
      <c r="I71" s="13"/>
      <c r="J71" s="12">
        <f>+january!J71+february!J71+march!J71+april!J71+may!J71+june!J71</f>
        <v>438228</v>
      </c>
      <c r="K71" s="12">
        <f>+january!K71+february!K71+march!K71+april!K71+may!K71+june!K71</f>
        <v>438228</v>
      </c>
      <c r="L71" s="12">
        <f>+J71-K71</f>
        <v>0</v>
      </c>
      <c r="M71" s="12"/>
      <c r="N71" s="12">
        <f t="shared" si="26"/>
        <v>64663206</v>
      </c>
      <c r="O71" s="12">
        <f t="shared" si="26"/>
        <v>41746128.850000001</v>
      </c>
      <c r="P71" s="14">
        <f>+N71-O71</f>
        <v>22917077.149999999</v>
      </c>
      <c r="Q71" s="17">
        <f t="shared" si="6"/>
        <v>0.64559324277859031</v>
      </c>
    </row>
    <row r="72" spans="2:17" ht="24.95" customHeight="1">
      <c r="B72" s="18"/>
      <c r="C72" s="10"/>
      <c r="D72" s="10"/>
      <c r="E72" s="41" t="s">
        <v>69</v>
      </c>
      <c r="F72" s="12">
        <f>+january!F72+february!F72+march!F72+april!F72+may!F72+june!F72</f>
        <v>25763000</v>
      </c>
      <c r="G72" s="12">
        <f>+january!G72+february!G72+march!G72+april!G72+may!G72+june!G72</f>
        <v>19265900.759999998</v>
      </c>
      <c r="H72" s="12">
        <f>+F72-G72</f>
        <v>6497099.2400000021</v>
      </c>
      <c r="I72" s="13"/>
      <c r="J72" s="12">
        <f>+january!J72+february!J72+march!J72+april!J72+may!J72+june!J72</f>
        <v>0</v>
      </c>
      <c r="K72" s="12">
        <f>+january!K72+february!K72+march!K72+april!K72+may!K72+june!K72</f>
        <v>0</v>
      </c>
      <c r="L72" s="12">
        <f>+J72-K72</f>
        <v>0</v>
      </c>
      <c r="M72" s="12"/>
      <c r="N72" s="12">
        <f t="shared" si="26"/>
        <v>25763000</v>
      </c>
      <c r="O72" s="12">
        <f t="shared" si="26"/>
        <v>19265900.759999998</v>
      </c>
      <c r="P72" s="14">
        <f>+N72-O72</f>
        <v>6497099.2400000021</v>
      </c>
      <c r="Q72" s="17">
        <f t="shared" si="6"/>
        <v>0.74781278422543951</v>
      </c>
    </row>
    <row r="73" spans="2:17" ht="24.95" customHeight="1">
      <c r="B73" s="18"/>
      <c r="C73" s="10"/>
      <c r="D73" s="10"/>
      <c r="E73" s="41"/>
      <c r="F73" s="12">
        <f>+january!F73+february!F73+march!F73+april!F73+may!F73+june!F73</f>
        <v>0</v>
      </c>
      <c r="G73" s="12">
        <f>+january!G73+february!G73+march!G73+april!G73+may!G73+june!G73</f>
        <v>0</v>
      </c>
      <c r="H73" s="12"/>
      <c r="I73" s="13"/>
      <c r="J73" s="12">
        <f>+january!J73+february!J73+march!J73+april!J73+may!J73+june!J73</f>
        <v>0</v>
      </c>
      <c r="K73" s="12">
        <f>+january!K73+february!K73+march!K73+april!K73+may!K73+june!K73</f>
        <v>0</v>
      </c>
      <c r="L73" s="12"/>
      <c r="M73" s="12"/>
      <c r="N73" s="12"/>
      <c r="O73" s="12"/>
      <c r="P73" s="14"/>
      <c r="Q73" s="17"/>
    </row>
    <row r="74" spans="2:17" ht="24.95" customHeight="1">
      <c r="B74" s="18"/>
      <c r="C74" s="20" t="s">
        <v>70</v>
      </c>
      <c r="D74" s="20"/>
      <c r="E74" s="10"/>
      <c r="F74" s="12">
        <f>+january!F74+february!F74+march!F74+april!F74+may!F74+june!F74</f>
        <v>0</v>
      </c>
      <c r="G74" s="12">
        <f>+january!G74+february!G74+march!G74+april!G74+may!G74+june!G74</f>
        <v>0</v>
      </c>
      <c r="H74" s="12"/>
      <c r="I74" s="13"/>
      <c r="J74" s="12">
        <f>+january!J74+february!J74+march!J74+april!J74+may!J74+june!J74</f>
        <v>0</v>
      </c>
      <c r="K74" s="12">
        <f>+january!K74+february!K74+march!K74+april!K74+may!K74+june!K74</f>
        <v>0</v>
      </c>
      <c r="L74" s="12"/>
      <c r="M74" s="12"/>
      <c r="N74" s="12"/>
      <c r="O74" s="12"/>
      <c r="P74" s="14"/>
      <c r="Q74" s="17"/>
    </row>
    <row r="75" spans="2:17" ht="24.95" customHeight="1">
      <c r="B75" s="18"/>
      <c r="C75" s="20"/>
      <c r="D75" s="20"/>
      <c r="E75" s="10" t="s">
        <v>71</v>
      </c>
      <c r="F75" s="12">
        <f>+january!F75+february!F75+march!F75+april!F75+may!F75+june!F75</f>
        <v>243030750</v>
      </c>
      <c r="G75" s="12">
        <f>+january!G75+february!G75+march!G75+april!G75+may!G75+june!G75</f>
        <v>224317816.59</v>
      </c>
      <c r="H75" s="12">
        <f t="shared" ref="H75:H80" si="27">+F75-G75</f>
        <v>18712933.409999996</v>
      </c>
      <c r="I75" s="13"/>
      <c r="J75" s="12">
        <f>+january!J75+february!J75+march!J75+april!J75+may!J75+june!J75</f>
        <v>0</v>
      </c>
      <c r="K75" s="12">
        <f>+january!K75+february!K75+march!K75+april!K75+may!K75+june!K75</f>
        <v>0</v>
      </c>
      <c r="L75" s="12">
        <f t="shared" ref="L75:L80" si="28">+J75-K75</f>
        <v>0</v>
      </c>
      <c r="M75" s="12"/>
      <c r="N75" s="12">
        <f t="shared" ref="N75:O80" si="29">+F75+J75</f>
        <v>243030750</v>
      </c>
      <c r="O75" s="12">
        <f t="shared" si="29"/>
        <v>224317816.59</v>
      </c>
      <c r="P75" s="14">
        <f t="shared" ref="P75:P80" si="30">+N75-O75</f>
        <v>18712933.409999996</v>
      </c>
      <c r="Q75" s="17">
        <f t="shared" ref="Q75:Q137" si="31">+O75/N75</f>
        <v>0.92300178718125181</v>
      </c>
    </row>
    <row r="76" spans="2:17" ht="28.5" customHeight="1">
      <c r="B76" s="18"/>
      <c r="C76" s="10"/>
      <c r="D76" s="10"/>
      <c r="E76" s="21" t="s">
        <v>72</v>
      </c>
      <c r="F76" s="12">
        <f>+january!F76+february!F76+march!F76+april!F76+may!F76+june!F76</f>
        <v>135036000</v>
      </c>
      <c r="G76" s="12">
        <f>+january!G76+february!G76+march!G76+april!G76+may!G76+june!G76</f>
        <v>120982542.23999999</v>
      </c>
      <c r="H76" s="12">
        <f t="shared" si="27"/>
        <v>14053457.760000005</v>
      </c>
      <c r="I76" s="13"/>
      <c r="J76" s="12">
        <f>+january!J76+february!J76+march!J76+april!J76+may!J76+june!J76</f>
        <v>209223</v>
      </c>
      <c r="K76" s="12">
        <f>+january!K76+february!K76+march!K76+april!K76+may!K76+june!K76</f>
        <v>209223</v>
      </c>
      <c r="L76" s="12">
        <f t="shared" si="28"/>
        <v>0</v>
      </c>
      <c r="M76" s="12"/>
      <c r="N76" s="12">
        <f t="shared" si="29"/>
        <v>135245223</v>
      </c>
      <c r="O76" s="12">
        <f t="shared" si="29"/>
        <v>121191765.23999999</v>
      </c>
      <c r="P76" s="14">
        <f t="shared" si="30"/>
        <v>14053457.760000005</v>
      </c>
      <c r="Q76" s="17">
        <f t="shared" si="31"/>
        <v>0.89608906364108698</v>
      </c>
    </row>
    <row r="77" spans="2:17" ht="28.5" customHeight="1">
      <c r="B77" s="18"/>
      <c r="C77" s="10"/>
      <c r="D77" s="10"/>
      <c r="E77" s="21" t="s">
        <v>73</v>
      </c>
      <c r="F77" s="12">
        <f>+january!F77+february!F77+march!F77+april!F77+may!F77+june!F77</f>
        <v>9855000</v>
      </c>
      <c r="G77" s="12">
        <f>+january!G77+february!G77+march!G77+april!G77+may!G77+june!G77</f>
        <v>9470015.1799999997</v>
      </c>
      <c r="H77" s="12">
        <f t="shared" si="27"/>
        <v>384984.8200000003</v>
      </c>
      <c r="I77" s="13"/>
      <c r="J77" s="12">
        <f>+january!J77+february!J77+march!J77+april!J77+may!J77+june!J77</f>
        <v>0</v>
      </c>
      <c r="K77" s="12">
        <f>+january!K77+february!K77+march!K77+april!K77+may!K77+june!K77</f>
        <v>0</v>
      </c>
      <c r="L77" s="12">
        <f t="shared" si="28"/>
        <v>0</v>
      </c>
      <c r="M77" s="12"/>
      <c r="N77" s="12">
        <f t="shared" si="29"/>
        <v>9855000</v>
      </c>
      <c r="O77" s="12">
        <f t="shared" si="29"/>
        <v>9470015.1799999997</v>
      </c>
      <c r="P77" s="14">
        <f t="shared" si="30"/>
        <v>384984.8200000003</v>
      </c>
      <c r="Q77" s="17">
        <f t="shared" si="31"/>
        <v>0.96093507661085742</v>
      </c>
    </row>
    <row r="78" spans="2:17" ht="28.5" customHeight="1">
      <c r="B78" s="18"/>
      <c r="C78" s="10"/>
      <c r="D78" s="10"/>
      <c r="E78" s="21" t="s">
        <v>74</v>
      </c>
      <c r="F78" s="12">
        <f>+january!F78+february!F78+march!F78+april!F78+may!F78+june!F78</f>
        <v>92836000</v>
      </c>
      <c r="G78" s="12">
        <f>+january!G78+february!G78+march!G78+april!G78+may!G78+june!G78</f>
        <v>83254676.440000013</v>
      </c>
      <c r="H78" s="12">
        <f t="shared" si="27"/>
        <v>9581323.5599999875</v>
      </c>
      <c r="I78" s="13"/>
      <c r="J78" s="12">
        <f>+january!J78+february!J78+march!J78+april!J78+may!J78+june!J78</f>
        <v>0</v>
      </c>
      <c r="K78" s="12">
        <f>+january!K78+february!K78+march!K78+april!K78+may!K78+june!K78</f>
        <v>0</v>
      </c>
      <c r="L78" s="12">
        <f t="shared" si="28"/>
        <v>0</v>
      </c>
      <c r="M78" s="12"/>
      <c r="N78" s="12">
        <f t="shared" si="29"/>
        <v>92836000</v>
      </c>
      <c r="O78" s="12">
        <f t="shared" si="29"/>
        <v>83254676.440000013</v>
      </c>
      <c r="P78" s="14">
        <f t="shared" si="30"/>
        <v>9581323.5599999875</v>
      </c>
      <c r="Q78" s="17">
        <f t="shared" si="31"/>
        <v>0.89679301607135176</v>
      </c>
    </row>
    <row r="79" spans="2:17" ht="24.95" customHeight="1">
      <c r="B79" s="18"/>
      <c r="C79" s="10"/>
      <c r="D79" s="10"/>
      <c r="E79" s="28" t="s">
        <v>75</v>
      </c>
      <c r="F79" s="12">
        <f>+january!F79+february!F79+march!F79+april!F79+may!F79+june!F79</f>
        <v>37183000</v>
      </c>
      <c r="G79" s="12">
        <f>+january!G79+february!G79+march!G79+april!G79+may!G79+june!G79</f>
        <v>30774941.27</v>
      </c>
      <c r="H79" s="12">
        <f t="shared" si="27"/>
        <v>6408058.7300000004</v>
      </c>
      <c r="I79" s="13"/>
      <c r="J79" s="12">
        <f>+january!J79+february!J79+march!J79+april!J79+may!J79+june!J79</f>
        <v>0</v>
      </c>
      <c r="K79" s="12">
        <f>+january!K79+february!K79+march!K79+april!K79+may!K79+june!K79</f>
        <v>0</v>
      </c>
      <c r="L79" s="12">
        <f t="shared" si="28"/>
        <v>0</v>
      </c>
      <c r="M79" s="12"/>
      <c r="N79" s="12">
        <f t="shared" si="29"/>
        <v>37183000</v>
      </c>
      <c r="O79" s="12">
        <f t="shared" si="29"/>
        <v>30774941.27</v>
      </c>
      <c r="P79" s="14">
        <f t="shared" si="30"/>
        <v>6408058.7300000004</v>
      </c>
      <c r="Q79" s="17">
        <f t="shared" si="31"/>
        <v>0.82766159992469679</v>
      </c>
    </row>
    <row r="80" spans="2:17" ht="24.95" customHeight="1">
      <c r="B80" s="18"/>
      <c r="C80" s="10"/>
      <c r="D80" s="10"/>
      <c r="E80" s="22" t="s">
        <v>76</v>
      </c>
      <c r="F80" s="12">
        <f>+january!F80+february!F80+march!F80+april!F80+may!F80+june!F80</f>
        <v>61144591</v>
      </c>
      <c r="G80" s="12">
        <f>+january!G80+february!G80+march!G80+april!G80+may!G80+june!G80</f>
        <v>51288630.760000005</v>
      </c>
      <c r="H80" s="12">
        <f t="shared" si="27"/>
        <v>9855960.2399999946</v>
      </c>
      <c r="I80" s="13"/>
      <c r="J80" s="12">
        <f>+january!J80+february!J80+march!J80+april!J80+may!J80+june!J80</f>
        <v>0</v>
      </c>
      <c r="K80" s="12">
        <f>+january!K80+february!K80+march!K80+april!K80+may!K80+june!K80</f>
        <v>0</v>
      </c>
      <c r="L80" s="12">
        <f t="shared" si="28"/>
        <v>0</v>
      </c>
      <c r="M80" s="12"/>
      <c r="N80" s="12">
        <f t="shared" si="29"/>
        <v>61144591</v>
      </c>
      <c r="O80" s="12">
        <f t="shared" si="29"/>
        <v>51288630.760000005</v>
      </c>
      <c r="P80" s="14">
        <f t="shared" si="30"/>
        <v>9855960.2399999946</v>
      </c>
      <c r="Q80" s="17">
        <f t="shared" si="31"/>
        <v>0.8388089595692938</v>
      </c>
    </row>
    <row r="81" spans="2:17" ht="27.75" customHeight="1">
      <c r="B81" s="18"/>
      <c r="C81" s="10"/>
      <c r="D81" s="10"/>
      <c r="E81" s="31" t="s">
        <v>51</v>
      </c>
      <c r="F81" s="32">
        <f t="shared" ref="F81:K81" si="32">SUM(F55:F80)</f>
        <v>2267405040.5299997</v>
      </c>
      <c r="G81" s="32">
        <f t="shared" si="32"/>
        <v>1916154608.5399997</v>
      </c>
      <c r="H81" s="32">
        <f t="shared" si="32"/>
        <v>351250431.99000001</v>
      </c>
      <c r="I81" s="32">
        <f t="shared" si="32"/>
        <v>0</v>
      </c>
      <c r="J81" s="32">
        <f t="shared" si="32"/>
        <v>155103734</v>
      </c>
      <c r="K81" s="32">
        <f t="shared" si="32"/>
        <v>154690832.48999998</v>
      </c>
      <c r="L81" s="32">
        <f>SUM(L55:L80)</f>
        <v>412901.51000000956</v>
      </c>
      <c r="M81" s="32">
        <f t="shared" ref="M81:O81" si="33">SUM(M55:M80)</f>
        <v>0</v>
      </c>
      <c r="N81" s="32">
        <f t="shared" si="33"/>
        <v>2422508774.5299997</v>
      </c>
      <c r="O81" s="32">
        <f t="shared" si="33"/>
        <v>2070845441.0299997</v>
      </c>
      <c r="P81" s="34">
        <f>SUM(P55:P80)</f>
        <v>351663333.5</v>
      </c>
      <c r="Q81" s="17">
        <f t="shared" si="31"/>
        <v>0.85483506305638557</v>
      </c>
    </row>
    <row r="82" spans="2:17" ht="24.95" customHeight="1">
      <c r="B82" s="18"/>
      <c r="C82" s="10"/>
      <c r="D82" s="10"/>
      <c r="E82" s="22"/>
      <c r="F82" s="12">
        <f>+january!F82+february!F82+march!F82+april!F82+may!F82</f>
        <v>0</v>
      </c>
      <c r="G82" s="12">
        <f>+january!G82+february!G82+march!G82+april!G82+may!G82</f>
        <v>0</v>
      </c>
      <c r="H82" s="12"/>
      <c r="I82" s="13"/>
      <c r="J82" s="12">
        <f>+january!J82+february!J82+march!J82+april!J82+may!J82</f>
        <v>0</v>
      </c>
      <c r="K82" s="12">
        <f>+january!K82+february!K82+march!K82+april!K82+may!K82</f>
        <v>0</v>
      </c>
      <c r="L82" s="12"/>
      <c r="M82" s="12"/>
      <c r="N82" s="12"/>
      <c r="O82" s="12"/>
      <c r="P82" s="14"/>
      <c r="Q82" s="17"/>
    </row>
    <row r="83" spans="2:17" ht="24.95" customHeight="1">
      <c r="B83" s="18"/>
      <c r="C83" s="24" t="s">
        <v>77</v>
      </c>
      <c r="D83" s="10"/>
      <c r="E83" s="22"/>
      <c r="F83" s="12">
        <f t="shared" ref="F83:G83" si="34">SUM(F85:F103)</f>
        <v>1869725361.5400002</v>
      </c>
      <c r="G83" s="12">
        <f t="shared" si="34"/>
        <v>1493524111.9400001</v>
      </c>
      <c r="H83" s="12">
        <f t="shared" ref="H83:I83" si="35">SUM(H85:H103)</f>
        <v>376201249.60000008</v>
      </c>
      <c r="I83" s="12">
        <f t="shared" si="35"/>
        <v>0</v>
      </c>
      <c r="J83" s="12">
        <f t="shared" ref="J83:K83" si="36">SUM(J85:J103)</f>
        <v>463052913</v>
      </c>
      <c r="K83" s="12">
        <f t="shared" si="36"/>
        <v>463215941.00999999</v>
      </c>
      <c r="L83" s="12">
        <f>SUM(L85:L103)</f>
        <v>-163028.00999999046</v>
      </c>
      <c r="M83" s="12">
        <f t="shared" ref="M83:P83" si="37">SUM(M85:M103)</f>
        <v>0</v>
      </c>
      <c r="N83" s="12">
        <f t="shared" si="37"/>
        <v>2332778274.54</v>
      </c>
      <c r="O83" s="12">
        <f t="shared" si="37"/>
        <v>1956740052.9499998</v>
      </c>
      <c r="P83" s="14">
        <f t="shared" si="37"/>
        <v>376038221.59000009</v>
      </c>
      <c r="Q83" s="17">
        <f>+O83/N83</f>
        <v>0.83880241611725781</v>
      </c>
    </row>
    <row r="84" spans="2:17" ht="24.95" customHeight="1">
      <c r="B84" s="18"/>
      <c r="C84" s="20" t="s">
        <v>78</v>
      </c>
      <c r="D84" s="20"/>
      <c r="E84" s="10"/>
      <c r="F84" s="12"/>
      <c r="G84" s="12"/>
      <c r="H84" s="12">
        <f t="shared" ref="H84:H89" si="38">+F84-G84</f>
        <v>0</v>
      </c>
      <c r="I84" s="13"/>
      <c r="J84" s="12"/>
      <c r="K84" s="12"/>
      <c r="L84" s="12">
        <f t="shared" ref="L84:L89" si="39">+J84-K84</f>
        <v>0</v>
      </c>
      <c r="M84" s="12"/>
      <c r="N84" s="12"/>
      <c r="O84" s="12"/>
      <c r="P84" s="14"/>
      <c r="Q84" s="17"/>
    </row>
    <row r="85" spans="2:17" ht="24.95" customHeight="1">
      <c r="B85" s="18"/>
      <c r="C85" s="20"/>
      <c r="D85" s="20"/>
      <c r="E85" s="10" t="s">
        <v>79</v>
      </c>
      <c r="F85" s="12">
        <f>+january!F85+february!F85+march!F85+april!F85+may!F85+june!F85</f>
        <v>341192000</v>
      </c>
      <c r="G85" s="12">
        <f>+january!G85+february!G85+march!G85+april!G85+may!G85+june!G85</f>
        <v>133092605.55</v>
      </c>
      <c r="H85" s="12">
        <f t="shared" si="38"/>
        <v>208099394.44999999</v>
      </c>
      <c r="I85" s="13"/>
      <c r="J85" s="12">
        <f>+january!J85+february!J85+march!J85+april!J85+may!J85+june!J85</f>
        <v>0</v>
      </c>
      <c r="K85" s="12">
        <f>+january!K85+february!K85+march!K85+april!K85+may!K85+june!K85</f>
        <v>0</v>
      </c>
      <c r="L85" s="12">
        <f t="shared" si="39"/>
        <v>0</v>
      </c>
      <c r="M85" s="12"/>
      <c r="N85" s="12">
        <f t="shared" ref="N85:O89" si="40">+F85+J85</f>
        <v>341192000</v>
      </c>
      <c r="O85" s="12">
        <f t="shared" si="40"/>
        <v>133092605.55</v>
      </c>
      <c r="P85" s="14">
        <f>+N85-O85</f>
        <v>208099394.44999999</v>
      </c>
      <c r="Q85" s="17">
        <f t="shared" si="31"/>
        <v>0.39008126084433398</v>
      </c>
    </row>
    <row r="86" spans="2:17" ht="27" customHeight="1">
      <c r="B86" s="18"/>
      <c r="C86" s="10"/>
      <c r="D86" s="10"/>
      <c r="E86" s="22" t="s">
        <v>80</v>
      </c>
      <c r="F86" s="12">
        <f>+january!F86+february!F86+march!F86+april!F86+may!F86+june!F86</f>
        <v>234889000</v>
      </c>
      <c r="G86" s="12">
        <f>+january!G86+february!G86+march!G86+april!G86+may!G86+june!G86</f>
        <v>204345565.98999998</v>
      </c>
      <c r="H86" s="12">
        <f t="shared" si="38"/>
        <v>30543434.01000002</v>
      </c>
      <c r="I86" s="13"/>
      <c r="J86" s="12">
        <f>+january!J86+february!J86+march!J86+april!J86+may!J86+june!J86</f>
        <v>0</v>
      </c>
      <c r="K86" s="12">
        <f>+january!K86+february!K86+march!K86+april!K86+may!K86+june!K86</f>
        <v>0</v>
      </c>
      <c r="L86" s="12">
        <f t="shared" si="39"/>
        <v>0</v>
      </c>
      <c r="M86" s="12"/>
      <c r="N86" s="12">
        <f t="shared" si="40"/>
        <v>234889000</v>
      </c>
      <c r="O86" s="12">
        <f t="shared" si="40"/>
        <v>204345565.98999998</v>
      </c>
      <c r="P86" s="14">
        <f>+N86-O86</f>
        <v>30543434.01000002</v>
      </c>
      <c r="Q86" s="17">
        <f t="shared" si="31"/>
        <v>0.86996652031385024</v>
      </c>
    </row>
    <row r="87" spans="2:17" ht="27" customHeight="1">
      <c r="B87" s="18"/>
      <c r="C87" s="10"/>
      <c r="D87" s="10"/>
      <c r="E87" s="22" t="s">
        <v>81</v>
      </c>
      <c r="F87" s="12">
        <f>+january!F87+february!F87+march!F87+april!F87+may!F87+june!F87</f>
        <v>369373000</v>
      </c>
      <c r="G87" s="12">
        <f>+january!G87+february!G87+march!G87+april!G87+may!G87+june!G87</f>
        <v>259794753.51999998</v>
      </c>
      <c r="H87" s="12">
        <f t="shared" si="38"/>
        <v>109578246.48000002</v>
      </c>
      <c r="I87" s="13"/>
      <c r="J87" s="12">
        <f>+january!J87+february!J87+march!J87+april!J87+may!J87+june!J87</f>
        <v>0</v>
      </c>
      <c r="K87" s="12">
        <f>+january!K87+february!K87+march!K87+april!K87+may!K87+june!K87</f>
        <v>0</v>
      </c>
      <c r="L87" s="12">
        <f t="shared" si="39"/>
        <v>0</v>
      </c>
      <c r="M87" s="12"/>
      <c r="N87" s="12">
        <f t="shared" si="40"/>
        <v>369373000</v>
      </c>
      <c r="O87" s="12">
        <f t="shared" si="40"/>
        <v>259794753.51999998</v>
      </c>
      <c r="P87" s="14">
        <f>+N87-O87</f>
        <v>109578246.48000002</v>
      </c>
      <c r="Q87" s="17">
        <f t="shared" si="31"/>
        <v>0.70333985840870872</v>
      </c>
    </row>
    <row r="88" spans="2:17" ht="27" customHeight="1">
      <c r="B88" s="18"/>
      <c r="C88" s="10"/>
      <c r="D88" s="10"/>
      <c r="E88" s="22" t="s">
        <v>82</v>
      </c>
      <c r="F88" s="12">
        <f>+january!F88+february!F88+march!F88+april!F88+may!F88+june!F88</f>
        <v>33078000</v>
      </c>
      <c r="G88" s="12">
        <f>+january!G88+february!G88+march!G88+april!G88+may!G88+june!G88</f>
        <v>24696387.420000002</v>
      </c>
      <c r="H88" s="12">
        <f t="shared" si="38"/>
        <v>8381612.5799999982</v>
      </c>
      <c r="I88" s="13"/>
      <c r="J88" s="12">
        <f>+january!J88+february!J88+march!J88+april!J88+may!J88+june!J88</f>
        <v>0</v>
      </c>
      <c r="K88" s="12">
        <f>+january!K88+february!K88+march!K88+april!K88+may!K88+june!K88</f>
        <v>0</v>
      </c>
      <c r="L88" s="12">
        <f t="shared" si="39"/>
        <v>0</v>
      </c>
      <c r="M88" s="12"/>
      <c r="N88" s="12">
        <f t="shared" si="40"/>
        <v>33078000</v>
      </c>
      <c r="O88" s="12">
        <f t="shared" si="40"/>
        <v>24696387.420000002</v>
      </c>
      <c r="P88" s="14">
        <f>+N88-O88</f>
        <v>8381612.5799999982</v>
      </c>
      <c r="Q88" s="17">
        <f t="shared" si="31"/>
        <v>0.74661066025757306</v>
      </c>
    </row>
    <row r="89" spans="2:17" ht="27" customHeight="1">
      <c r="B89" s="18"/>
      <c r="C89" s="10"/>
      <c r="D89" s="10"/>
      <c r="E89" s="22" t="s">
        <v>83</v>
      </c>
      <c r="F89" s="12">
        <f>+january!F89+february!F89+march!F89+april!F89+may!F89+june!F89</f>
        <v>17972000</v>
      </c>
      <c r="G89" s="12">
        <f>+january!G89+february!G89+march!G89+april!G89+may!G89+june!G89</f>
        <v>11679879.399999999</v>
      </c>
      <c r="H89" s="12">
        <f t="shared" si="38"/>
        <v>6292120.6000000015</v>
      </c>
      <c r="I89" s="13"/>
      <c r="J89" s="12">
        <f>+january!J89+february!J89+march!J89+april!J89+may!J89+june!J89</f>
        <v>0</v>
      </c>
      <c r="K89" s="12">
        <f>+january!K89+february!K89+march!K89+april!K89+may!K89+june!K89</f>
        <v>0</v>
      </c>
      <c r="L89" s="12">
        <f t="shared" si="39"/>
        <v>0</v>
      </c>
      <c r="M89" s="12"/>
      <c r="N89" s="12">
        <f t="shared" si="40"/>
        <v>17972000</v>
      </c>
      <c r="O89" s="12">
        <f t="shared" si="40"/>
        <v>11679879.399999999</v>
      </c>
      <c r="P89" s="14">
        <f>+N89-O89</f>
        <v>6292120.6000000015</v>
      </c>
      <c r="Q89" s="17">
        <f t="shared" si="31"/>
        <v>0.64989313376363222</v>
      </c>
    </row>
    <row r="90" spans="2:17" ht="24.95" customHeight="1">
      <c r="B90" s="18"/>
      <c r="C90" s="10"/>
      <c r="D90" s="10"/>
      <c r="E90" s="22"/>
      <c r="F90" s="12">
        <f>+january!F90+february!F90+march!F90+april!F90+may!F90+june!F90</f>
        <v>0</v>
      </c>
      <c r="G90" s="12">
        <f>+january!G90+february!G90+march!G90+april!G90+may!G90+june!G90</f>
        <v>0</v>
      </c>
      <c r="H90" s="12"/>
      <c r="I90" s="13"/>
      <c r="J90" s="12">
        <f>+january!J90+february!J90+march!J90+april!J90+may!J90+june!J90</f>
        <v>0</v>
      </c>
      <c r="K90" s="12">
        <f>+january!K90+february!K90+march!K90+april!K90+may!K90+june!K90</f>
        <v>0</v>
      </c>
      <c r="L90" s="12"/>
      <c r="M90" s="12"/>
      <c r="N90" s="12"/>
      <c r="O90" s="12"/>
      <c r="P90" s="14"/>
      <c r="Q90" s="17"/>
    </row>
    <row r="91" spans="2:17" ht="24.95" customHeight="1">
      <c r="B91" s="18"/>
      <c r="C91" s="20" t="s">
        <v>84</v>
      </c>
      <c r="D91" s="20"/>
      <c r="E91" s="10"/>
      <c r="F91" s="12">
        <f>+january!F91+february!F91+march!F91+april!F91+may!F91+june!F91</f>
        <v>0</v>
      </c>
      <c r="G91" s="12">
        <f>+january!G91+february!G91+march!G91+april!G91+may!G91+june!G91</f>
        <v>0</v>
      </c>
      <c r="H91" s="12"/>
      <c r="I91" s="13"/>
      <c r="J91" s="12">
        <f>+january!J91+february!J91+march!J91+april!J91+may!J91+june!J91</f>
        <v>0</v>
      </c>
      <c r="K91" s="12">
        <f>+january!K91+february!K91+march!K91+april!K91+may!K91+june!K91</f>
        <v>0</v>
      </c>
      <c r="L91" s="12"/>
      <c r="M91" s="12"/>
      <c r="N91" s="12"/>
      <c r="O91" s="12"/>
      <c r="P91" s="14"/>
      <c r="Q91" s="17"/>
    </row>
    <row r="92" spans="2:17" ht="24.95" customHeight="1">
      <c r="B92" s="18"/>
      <c r="C92" s="20"/>
      <c r="D92" s="20"/>
      <c r="E92" s="10" t="s">
        <v>85</v>
      </c>
      <c r="F92" s="12">
        <f>+january!F92+february!F92+march!F92+april!F92+may!F92+june!F92</f>
        <v>144397000</v>
      </c>
      <c r="G92" s="12">
        <f>+january!G92+february!G92+march!G92+april!G92+may!G92+june!G92</f>
        <v>143315333.90000001</v>
      </c>
      <c r="H92" s="12">
        <f t="shared" ref="H92:H98" si="41">+F92-G92</f>
        <v>1081666.099999994</v>
      </c>
      <c r="I92" s="13"/>
      <c r="J92" s="12">
        <f>+january!J92+february!J92+march!J92+april!J92+may!J92+june!J92</f>
        <v>159964000</v>
      </c>
      <c r="K92" s="12">
        <f>+january!K92+february!K92+march!K92+april!K92+may!K92+june!K92</f>
        <v>159964000</v>
      </c>
      <c r="L92" s="12">
        <f t="shared" ref="L92:L98" si="42">+J92-K92</f>
        <v>0</v>
      </c>
      <c r="M92" s="12"/>
      <c r="N92" s="12">
        <f t="shared" ref="N92:O98" si="43">+F92+J92</f>
        <v>304361000</v>
      </c>
      <c r="O92" s="12">
        <f t="shared" si="43"/>
        <v>303279333.89999998</v>
      </c>
      <c r="P92" s="14">
        <f t="shared" ref="P92:P98" si="44">+N92-O92</f>
        <v>1081666.1000000238</v>
      </c>
      <c r="Q92" s="17">
        <f t="shared" si="31"/>
        <v>0.99644610807560752</v>
      </c>
    </row>
    <row r="93" spans="2:17" ht="28.5" customHeight="1">
      <c r="B93" s="18"/>
      <c r="C93" s="10"/>
      <c r="D93" s="10"/>
      <c r="E93" s="22" t="s">
        <v>86</v>
      </c>
      <c r="F93" s="12">
        <f>+january!F93+february!F93+march!F93+april!F93+may!F93+june!F93</f>
        <v>236982942.40000001</v>
      </c>
      <c r="G93" s="12">
        <f>+january!G93+february!G93+march!G93+april!G93+may!G93+june!G93</f>
        <v>232306010.78999999</v>
      </c>
      <c r="H93" s="12">
        <f t="shared" si="41"/>
        <v>4676931.6100000143</v>
      </c>
      <c r="I93" s="13"/>
      <c r="J93" s="12">
        <f>+january!J93+february!J93+march!J93+april!J93+may!J93+june!J93</f>
        <v>0</v>
      </c>
      <c r="K93" s="12">
        <f>+january!K93+february!K93+march!K93+april!K93+may!K93+june!K93</f>
        <v>0</v>
      </c>
      <c r="L93" s="12">
        <f t="shared" si="42"/>
        <v>0</v>
      </c>
      <c r="M93" s="12"/>
      <c r="N93" s="12">
        <f t="shared" si="43"/>
        <v>236982942.40000001</v>
      </c>
      <c r="O93" s="12">
        <f t="shared" si="43"/>
        <v>232306010.78999999</v>
      </c>
      <c r="P93" s="14">
        <f t="shared" si="44"/>
        <v>4676931.6100000143</v>
      </c>
      <c r="Q93" s="17">
        <f t="shared" si="31"/>
        <v>0.9802646909408953</v>
      </c>
    </row>
    <row r="94" spans="2:17" ht="28.5" customHeight="1">
      <c r="B94" s="18"/>
      <c r="C94" s="10"/>
      <c r="D94" s="10"/>
      <c r="E94" s="22" t="s">
        <v>87</v>
      </c>
      <c r="F94" s="12">
        <f>+january!F94+february!F94+march!F94+april!F94+may!F94+june!F94</f>
        <v>90574000</v>
      </c>
      <c r="G94" s="12">
        <f>+january!G94+february!G94+march!G94+april!G94+may!G94+june!G94</f>
        <v>90280420.069999993</v>
      </c>
      <c r="H94" s="12">
        <f t="shared" si="41"/>
        <v>293579.93000000715</v>
      </c>
      <c r="I94" s="13"/>
      <c r="J94" s="12">
        <f>+january!J94+february!J94+march!J94+april!J94+may!J94+june!J94</f>
        <v>0</v>
      </c>
      <c r="K94" s="12">
        <f>+january!K94+february!K94+march!K94+april!K94+may!K94+june!K94</f>
        <v>0</v>
      </c>
      <c r="L94" s="12">
        <f t="shared" si="42"/>
        <v>0</v>
      </c>
      <c r="M94" s="12"/>
      <c r="N94" s="12">
        <f t="shared" si="43"/>
        <v>90574000</v>
      </c>
      <c r="O94" s="12">
        <f t="shared" si="43"/>
        <v>90280420.069999993</v>
      </c>
      <c r="P94" s="14">
        <f t="shared" si="44"/>
        <v>293579.93000000715</v>
      </c>
      <c r="Q94" s="17">
        <f t="shared" si="31"/>
        <v>0.99675867323956091</v>
      </c>
    </row>
    <row r="95" spans="2:17" ht="28.5" customHeight="1">
      <c r="B95" s="18"/>
      <c r="C95" s="10"/>
      <c r="D95" s="10"/>
      <c r="E95" s="22" t="s">
        <v>88</v>
      </c>
      <c r="F95" s="12">
        <f>+january!F95+february!F95+march!F95+april!F95+may!F95+june!F95</f>
        <v>22996000</v>
      </c>
      <c r="G95" s="12">
        <f>+january!G95+february!G95+march!G95+april!G95+may!G95+june!G95</f>
        <v>22996000</v>
      </c>
      <c r="H95" s="12">
        <f t="shared" si="41"/>
        <v>0</v>
      </c>
      <c r="I95" s="13"/>
      <c r="J95" s="12">
        <f>+january!J95+february!J95+march!J95+april!J95+may!J95+june!J95</f>
        <v>0</v>
      </c>
      <c r="K95" s="12">
        <f>+january!K95+february!K95+march!K95+april!K95+may!K95+june!K95</f>
        <v>0</v>
      </c>
      <c r="L95" s="12">
        <f t="shared" si="42"/>
        <v>0</v>
      </c>
      <c r="M95" s="12"/>
      <c r="N95" s="12">
        <f t="shared" si="43"/>
        <v>22996000</v>
      </c>
      <c r="O95" s="12">
        <f t="shared" si="43"/>
        <v>22996000</v>
      </c>
      <c r="P95" s="14">
        <f t="shared" si="44"/>
        <v>0</v>
      </c>
      <c r="Q95" s="17">
        <f t="shared" si="31"/>
        <v>1</v>
      </c>
    </row>
    <row r="96" spans="2:17" ht="24.95" customHeight="1">
      <c r="B96" s="18"/>
      <c r="C96" s="10"/>
      <c r="D96" s="10"/>
      <c r="E96" s="22" t="s">
        <v>89</v>
      </c>
      <c r="F96" s="12">
        <f>+january!F96+february!F96+march!F96+april!F96+may!F96+june!F96</f>
        <v>37981000</v>
      </c>
      <c r="G96" s="12">
        <f>+january!G96+february!G96+march!G96+april!G96+may!G96+june!G96</f>
        <v>35190916.149999999</v>
      </c>
      <c r="H96" s="12">
        <f t="shared" si="41"/>
        <v>2790083.8500000015</v>
      </c>
      <c r="I96" s="13"/>
      <c r="J96" s="12">
        <f>+january!J96+february!J96+march!J96+april!J96+may!J96+june!J96</f>
        <v>6983000</v>
      </c>
      <c r="K96" s="12">
        <f>+january!K96+february!K96+march!K96+april!K96+may!K96+june!K96</f>
        <v>6983000</v>
      </c>
      <c r="L96" s="12">
        <f t="shared" si="42"/>
        <v>0</v>
      </c>
      <c r="M96" s="12"/>
      <c r="N96" s="12">
        <f t="shared" si="43"/>
        <v>44964000</v>
      </c>
      <c r="O96" s="12">
        <f t="shared" si="43"/>
        <v>42173916.149999999</v>
      </c>
      <c r="P96" s="14">
        <f t="shared" si="44"/>
        <v>2790083.8500000015</v>
      </c>
      <c r="Q96" s="17">
        <f t="shared" si="31"/>
        <v>0.93794849546303705</v>
      </c>
    </row>
    <row r="97" spans="2:21" ht="24.95" customHeight="1">
      <c r="B97" s="18"/>
      <c r="C97" s="10"/>
      <c r="D97" s="10"/>
      <c r="E97" s="28" t="s">
        <v>90</v>
      </c>
      <c r="F97" s="12">
        <f>+january!F97+february!F97+march!F97+april!F97+may!F97+june!F97</f>
        <v>13892000</v>
      </c>
      <c r="G97" s="12">
        <f>+january!G97+february!G97+march!G97+april!G97+may!G97+june!G97</f>
        <v>13892000</v>
      </c>
      <c r="H97" s="12">
        <f t="shared" si="41"/>
        <v>0</v>
      </c>
      <c r="I97" s="13"/>
      <c r="J97" s="12">
        <f>+january!J97+february!J97+march!J97+april!J97+may!J97+june!J97</f>
        <v>0</v>
      </c>
      <c r="K97" s="12">
        <f>+january!K97+february!K97+march!K97+april!K97+may!K97+june!K97</f>
        <v>0</v>
      </c>
      <c r="L97" s="12">
        <f t="shared" si="42"/>
        <v>0</v>
      </c>
      <c r="M97" s="12"/>
      <c r="N97" s="12">
        <f t="shared" si="43"/>
        <v>13892000</v>
      </c>
      <c r="O97" s="12">
        <f t="shared" si="43"/>
        <v>13892000</v>
      </c>
      <c r="P97" s="14">
        <f t="shared" si="44"/>
        <v>0</v>
      </c>
      <c r="Q97" s="17">
        <f t="shared" si="31"/>
        <v>1</v>
      </c>
    </row>
    <row r="98" spans="2:21" ht="28.5" customHeight="1">
      <c r="B98" s="18"/>
      <c r="C98" s="10"/>
      <c r="D98" s="10"/>
      <c r="E98" s="43" t="s">
        <v>91</v>
      </c>
      <c r="F98" s="12">
        <f>+january!F98+february!F98+march!F98+april!F98+may!F98+june!F98</f>
        <v>17432000</v>
      </c>
      <c r="G98" s="12">
        <f>+january!G98+february!G98+march!G98+april!G98+may!G98+june!G98</f>
        <v>15845725.300000001</v>
      </c>
      <c r="H98" s="12">
        <f t="shared" si="41"/>
        <v>1586274.6999999993</v>
      </c>
      <c r="I98" s="13"/>
      <c r="J98" s="12">
        <f>+january!J98+february!J98+march!J98+april!J98+may!J98+june!J98</f>
        <v>0</v>
      </c>
      <c r="K98" s="12">
        <f>+january!K98+february!K98+march!K98+april!K98+may!K98+june!K98</f>
        <v>0</v>
      </c>
      <c r="L98" s="12">
        <f t="shared" si="42"/>
        <v>0</v>
      </c>
      <c r="M98" s="12"/>
      <c r="N98" s="12">
        <f t="shared" si="43"/>
        <v>17432000</v>
      </c>
      <c r="O98" s="12">
        <f t="shared" si="43"/>
        <v>15845725.300000001</v>
      </c>
      <c r="P98" s="14">
        <f t="shared" si="44"/>
        <v>1586274.6999999993</v>
      </c>
      <c r="Q98" s="17">
        <f t="shared" si="31"/>
        <v>0.90900213974300137</v>
      </c>
    </row>
    <row r="99" spans="2:21" ht="24.95" customHeight="1">
      <c r="B99" s="18"/>
      <c r="C99" s="10"/>
      <c r="D99" s="10"/>
      <c r="E99" s="43"/>
      <c r="F99" s="12">
        <f>+january!F99+february!F99+march!F99+april!F99+may!F99+june!F99</f>
        <v>0</v>
      </c>
      <c r="G99" s="12">
        <f>+january!G99+february!G99+march!G99+april!G99+may!G99+june!G99</f>
        <v>0</v>
      </c>
      <c r="H99" s="12"/>
      <c r="I99" s="13"/>
      <c r="J99" s="12">
        <f>+january!J99+february!J99+march!J99+april!J99+may!J99+june!J99</f>
        <v>0</v>
      </c>
      <c r="K99" s="12">
        <f>+january!K99+february!K99+march!K99+april!K99+may!K99+june!K99</f>
        <v>0</v>
      </c>
      <c r="L99" s="12"/>
      <c r="M99" s="12"/>
      <c r="N99" s="12"/>
      <c r="O99" s="12"/>
      <c r="P99" s="14"/>
      <c r="Q99" s="17"/>
    </row>
    <row r="100" spans="2:21" ht="24.95" customHeight="1">
      <c r="B100" s="18"/>
      <c r="C100" s="20" t="s">
        <v>92</v>
      </c>
      <c r="D100" s="20"/>
      <c r="E100" s="10"/>
      <c r="F100" s="12">
        <f>+january!F100+february!F100+march!F100+april!F100+may!F100+june!F100</f>
        <v>0</v>
      </c>
      <c r="G100" s="12">
        <f>+january!G100+february!G100+march!G100+april!G100+may!G100+june!G100</f>
        <v>0</v>
      </c>
      <c r="H100" s="12"/>
      <c r="I100" s="13"/>
      <c r="J100" s="12">
        <f>+january!J100+february!J100+march!J100+april!J100+may!J100+june!J100</f>
        <v>0</v>
      </c>
      <c r="K100" s="12">
        <f>+january!K100+february!K100+march!K100+april!K100+may!K100+june!K100</f>
        <v>0</v>
      </c>
      <c r="L100" s="12"/>
      <c r="M100" s="12"/>
      <c r="N100" s="12"/>
      <c r="O100" s="12"/>
      <c r="P100" s="14"/>
      <c r="Q100" s="17"/>
    </row>
    <row r="101" spans="2:21" ht="24.95" customHeight="1">
      <c r="B101" s="18"/>
      <c r="C101" s="20"/>
      <c r="D101" s="20"/>
      <c r="E101" s="10" t="s">
        <v>93</v>
      </c>
      <c r="F101" s="12">
        <f>+january!F101+february!F101+march!F101+april!F101+may!F101+june!F101</f>
        <v>137662000</v>
      </c>
      <c r="G101" s="12">
        <f>+january!G101+february!G101+march!G101+april!G101+may!G101+june!G101</f>
        <v>137276280.12</v>
      </c>
      <c r="H101" s="12">
        <f>+F101-G101</f>
        <v>385719.87999999523</v>
      </c>
      <c r="I101" s="13"/>
      <c r="J101" s="12">
        <f>+january!J101+february!J101+march!J101+april!J101+may!J101+june!J101</f>
        <v>296105913</v>
      </c>
      <c r="K101" s="12">
        <f>+january!K101+february!K101+march!K101+april!K101+may!K101+june!K101</f>
        <v>296268941.00999999</v>
      </c>
      <c r="L101" s="12">
        <f>+J101-K101</f>
        <v>-163028.00999999046</v>
      </c>
      <c r="M101" s="12"/>
      <c r="N101" s="12">
        <f t="shared" ref="N101:O103" si="45">+F101+J101</f>
        <v>433767913</v>
      </c>
      <c r="O101" s="12">
        <f t="shared" si="45"/>
        <v>433545221.13</v>
      </c>
      <c r="P101" s="14">
        <f>+N101-O101</f>
        <v>222691.87000000477</v>
      </c>
      <c r="Q101" s="17">
        <f t="shared" si="31"/>
        <v>0.9994866105506518</v>
      </c>
    </row>
    <row r="102" spans="2:21" ht="29.25" customHeight="1">
      <c r="B102" s="18"/>
      <c r="C102" s="10"/>
      <c r="D102" s="10"/>
      <c r="E102" s="22" t="s">
        <v>94</v>
      </c>
      <c r="F102" s="12">
        <f>+january!F102+february!F102+march!F102+april!F102+may!F102+june!F102</f>
        <v>159215004</v>
      </c>
      <c r="G102" s="12">
        <f>+january!G102+february!G102+march!G102+april!G102+may!G102+june!G102</f>
        <v>159194604.00000003</v>
      </c>
      <c r="H102" s="12">
        <f>+F102-G102</f>
        <v>20399.999999970198</v>
      </c>
      <c r="I102" s="13"/>
      <c r="J102" s="12">
        <f>+january!J102+february!J102+march!J102+april!J102+may!J102+june!J102</f>
        <v>0</v>
      </c>
      <c r="K102" s="12">
        <f>+january!K102+february!K102+march!K102+april!K102+may!K102+june!K102</f>
        <v>0</v>
      </c>
      <c r="L102" s="12">
        <f>+J102-K102</f>
        <v>0</v>
      </c>
      <c r="M102" s="12"/>
      <c r="N102" s="12">
        <f t="shared" si="45"/>
        <v>159215004</v>
      </c>
      <c r="O102" s="12">
        <f t="shared" si="45"/>
        <v>159194604.00000003</v>
      </c>
      <c r="P102" s="14">
        <f>+N102-O102</f>
        <v>20399.999999970198</v>
      </c>
      <c r="Q102" s="17">
        <f t="shared" si="31"/>
        <v>0.99987187137212286</v>
      </c>
    </row>
    <row r="103" spans="2:21" ht="29.25" customHeight="1">
      <c r="B103" s="18"/>
      <c r="C103" s="10"/>
      <c r="D103" s="10"/>
      <c r="E103" s="22" t="s">
        <v>95</v>
      </c>
      <c r="F103" s="12">
        <f>+january!F103+february!F103+march!F103+april!F103+may!F103+june!F103</f>
        <v>12089415.140000001</v>
      </c>
      <c r="G103" s="12">
        <f>+january!G103+february!G103+march!G103+april!G103+may!G103+june!G103</f>
        <v>9617629.7300000004</v>
      </c>
      <c r="H103" s="12">
        <f>+F103-G103</f>
        <v>2471785.41</v>
      </c>
      <c r="I103" s="13"/>
      <c r="J103" s="12">
        <f>+january!J103+february!J103+march!J103+april!J103+may!J103+june!J103</f>
        <v>0</v>
      </c>
      <c r="K103" s="12">
        <f>+january!K103+february!K103+march!K103+april!K103+may!K103+june!K103</f>
        <v>0</v>
      </c>
      <c r="L103" s="12">
        <f>+J103-K103</f>
        <v>0</v>
      </c>
      <c r="M103" s="12"/>
      <c r="N103" s="12">
        <f t="shared" si="45"/>
        <v>12089415.140000001</v>
      </c>
      <c r="O103" s="12">
        <f t="shared" si="45"/>
        <v>9617629.7300000004</v>
      </c>
      <c r="P103" s="14">
        <f>+N103-O103</f>
        <v>2471785.41</v>
      </c>
      <c r="Q103" s="17">
        <f t="shared" si="31"/>
        <v>0.79554135734642328</v>
      </c>
    </row>
    <row r="104" spans="2:21" ht="27.75" customHeight="1">
      <c r="B104" s="18"/>
      <c r="C104" s="10"/>
      <c r="D104" s="10"/>
      <c r="E104" s="31" t="s">
        <v>51</v>
      </c>
      <c r="F104" s="32">
        <f t="shared" ref="F104:K104" si="46">SUM(F85:F103)</f>
        <v>1869725361.5400002</v>
      </c>
      <c r="G104" s="32">
        <f t="shared" si="46"/>
        <v>1493524111.9400001</v>
      </c>
      <c r="H104" s="32">
        <f t="shared" si="46"/>
        <v>376201249.60000008</v>
      </c>
      <c r="I104" s="32">
        <f t="shared" si="46"/>
        <v>0</v>
      </c>
      <c r="J104" s="32">
        <f t="shared" si="46"/>
        <v>463052913</v>
      </c>
      <c r="K104" s="32">
        <f t="shared" si="46"/>
        <v>463215941.00999999</v>
      </c>
      <c r="L104" s="32">
        <f>SUM(L85:L103)</f>
        <v>-163028.00999999046</v>
      </c>
      <c r="M104" s="32">
        <f t="shared" ref="M104:O104" si="47">SUM(M85:M103)</f>
        <v>0</v>
      </c>
      <c r="N104" s="32">
        <f t="shared" si="47"/>
        <v>2332778274.54</v>
      </c>
      <c r="O104" s="32">
        <f t="shared" si="47"/>
        <v>1956740052.9499998</v>
      </c>
      <c r="P104" s="34">
        <f>SUM(P85:P103)</f>
        <v>376038221.59000009</v>
      </c>
      <c r="Q104" s="17">
        <f t="shared" si="31"/>
        <v>0.83880241611725781</v>
      </c>
    </row>
    <row r="105" spans="2:21" ht="24.95" customHeight="1">
      <c r="B105" s="18"/>
      <c r="C105" s="10"/>
      <c r="D105" s="10"/>
      <c r="E105" s="22"/>
      <c r="F105" s="12">
        <f>+january!F105+february!F105+march!F105+april!F105+may!F105</f>
        <v>0</v>
      </c>
      <c r="G105" s="12">
        <f>+january!G105+february!G105+march!G105+april!G105+may!G105</f>
        <v>0</v>
      </c>
      <c r="H105" s="12"/>
      <c r="I105" s="13"/>
      <c r="J105" s="12">
        <f>+january!J105+february!J105+march!J105+april!J105+may!J105</f>
        <v>0</v>
      </c>
      <c r="K105" s="12">
        <f>+january!K105+february!K105+march!K105+april!K105+may!K105</f>
        <v>0</v>
      </c>
      <c r="L105" s="12"/>
      <c r="M105" s="12"/>
      <c r="N105" s="12"/>
      <c r="O105" s="12"/>
      <c r="P105" s="14"/>
      <c r="Q105" s="17"/>
      <c r="U105" s="2" t="s">
        <v>96</v>
      </c>
    </row>
    <row r="106" spans="2:21" ht="24.95" customHeight="1">
      <c r="B106" s="18"/>
      <c r="C106" s="24" t="s">
        <v>97</v>
      </c>
      <c r="D106" s="10"/>
      <c r="E106" s="22"/>
      <c r="F106" s="12">
        <f t="shared" ref="F106:G106" si="48">SUM(F108:F136)</f>
        <v>2918261626.3800001</v>
      </c>
      <c r="G106" s="12">
        <f t="shared" si="48"/>
        <v>2360607272.1100001</v>
      </c>
      <c r="H106" s="12">
        <f t="shared" ref="H106:I106" si="49">SUM(H108:H136)</f>
        <v>557654354.26999998</v>
      </c>
      <c r="I106" s="12">
        <f t="shared" si="49"/>
        <v>0</v>
      </c>
      <c r="J106" s="12">
        <f t="shared" ref="J106:K106" si="50">SUM(J108:J136)</f>
        <v>254907647.23999998</v>
      </c>
      <c r="K106" s="12">
        <f t="shared" si="50"/>
        <v>264690749.82999998</v>
      </c>
      <c r="L106" s="12">
        <f>SUM(L108:L136)</f>
        <v>-9783102.5899999999</v>
      </c>
      <c r="M106" s="12">
        <f t="shared" ref="M106:P106" si="51">SUM(M108:M136)</f>
        <v>0</v>
      </c>
      <c r="N106" s="12">
        <f t="shared" si="51"/>
        <v>3173169273.6199999</v>
      </c>
      <c r="O106" s="12">
        <f t="shared" si="51"/>
        <v>2625298021.9400001</v>
      </c>
      <c r="P106" s="14">
        <f t="shared" si="51"/>
        <v>547871251.67999995</v>
      </c>
      <c r="Q106" s="17">
        <f>+O106/N106</f>
        <v>0.82734257001834011</v>
      </c>
    </row>
    <row r="107" spans="2:21" ht="24.95" customHeight="1">
      <c r="B107" s="18"/>
      <c r="C107" s="20" t="s">
        <v>98</v>
      </c>
      <c r="D107" s="20"/>
      <c r="E107" s="10"/>
      <c r="F107" s="12"/>
      <c r="G107" s="12"/>
      <c r="H107" s="12">
        <f t="shared" ref="H107:H115" si="52">+F107-G107</f>
        <v>0</v>
      </c>
      <c r="I107" s="13"/>
      <c r="J107" s="12"/>
      <c r="K107" s="12"/>
      <c r="L107" s="12">
        <f t="shared" ref="L107:L115" si="53">+J107-K107</f>
        <v>0</v>
      </c>
      <c r="M107" s="12"/>
      <c r="N107" s="12"/>
      <c r="O107" s="12"/>
      <c r="P107" s="14"/>
      <c r="Q107" s="17"/>
    </row>
    <row r="108" spans="2:21" ht="24.95" customHeight="1">
      <c r="B108" s="18"/>
      <c r="C108" s="20"/>
      <c r="D108" s="20"/>
      <c r="E108" s="10" t="s">
        <v>99</v>
      </c>
      <c r="F108" s="12">
        <f>+january!F108+february!F108+march!F108+april!F108+may!F108+june!F108</f>
        <v>160440000</v>
      </c>
      <c r="G108" s="12">
        <f>+january!G108+february!G108+march!G108+april!G108+may!G108+june!G108</f>
        <v>157501769.47</v>
      </c>
      <c r="H108" s="12">
        <f t="shared" si="52"/>
        <v>2938230.5300000012</v>
      </c>
      <c r="I108" s="13"/>
      <c r="J108" s="12">
        <f>+january!J108+february!J108+march!J108+april!J108+may!J108+june!J108</f>
        <v>81926673</v>
      </c>
      <c r="K108" s="12">
        <f>+january!K108+february!K108+march!K108+april!K108+may!K108+june!K108</f>
        <v>72479621.439999998</v>
      </c>
      <c r="L108" s="12">
        <f t="shared" si="53"/>
        <v>9447051.5600000024</v>
      </c>
      <c r="M108" s="12"/>
      <c r="N108" s="12">
        <f t="shared" ref="N108:O115" si="54">+F108+J108</f>
        <v>242366673</v>
      </c>
      <c r="O108" s="12">
        <f t="shared" si="54"/>
        <v>229981390.91</v>
      </c>
      <c r="P108" s="14">
        <f t="shared" ref="P108:P115" si="55">+N108-O108</f>
        <v>12385282.090000004</v>
      </c>
      <c r="Q108" s="17">
        <f t="shared" si="31"/>
        <v>0.94889857612560446</v>
      </c>
    </row>
    <row r="109" spans="2:21" ht="27" customHeight="1">
      <c r="B109" s="18"/>
      <c r="C109" s="10"/>
      <c r="D109" s="10"/>
      <c r="E109" s="22" t="s">
        <v>100</v>
      </c>
      <c r="F109" s="12">
        <f>+january!F109+february!F109+march!F109+april!F109+may!F109+june!F109</f>
        <v>135769000</v>
      </c>
      <c r="G109" s="12">
        <f>+january!G109+february!G109+march!G109+april!G109+may!G109+june!G109</f>
        <v>133222872.78</v>
      </c>
      <c r="H109" s="12">
        <f t="shared" si="52"/>
        <v>2546127.2199999988</v>
      </c>
      <c r="I109" s="13"/>
      <c r="J109" s="12">
        <f>+january!J109+february!J109+march!J109+april!J109+may!J109+june!J109</f>
        <v>15395374.190000001</v>
      </c>
      <c r="K109" s="12">
        <f>+january!K109+february!K109+march!K109+april!K109+may!K109+june!K109</f>
        <v>15395374.190000001</v>
      </c>
      <c r="L109" s="12">
        <f t="shared" si="53"/>
        <v>0</v>
      </c>
      <c r="M109" s="12"/>
      <c r="N109" s="12">
        <f t="shared" si="54"/>
        <v>151164374.19</v>
      </c>
      <c r="O109" s="12">
        <f t="shared" si="54"/>
        <v>148618246.97</v>
      </c>
      <c r="P109" s="14">
        <f t="shared" si="55"/>
        <v>2546127.2199999988</v>
      </c>
      <c r="Q109" s="17">
        <f t="shared" si="31"/>
        <v>0.98315656560189413</v>
      </c>
    </row>
    <row r="110" spans="2:21" ht="27" customHeight="1">
      <c r="B110" s="18"/>
      <c r="C110" s="10"/>
      <c r="D110" s="10"/>
      <c r="E110" s="22" t="s">
        <v>101</v>
      </c>
      <c r="F110" s="12">
        <f>+january!F110+february!F110+march!F110+april!F110+may!F110+june!F110</f>
        <v>20724000</v>
      </c>
      <c r="G110" s="12">
        <f>+january!G110+february!G110+march!G110+april!G110+may!G110+june!G110</f>
        <v>17262694.68</v>
      </c>
      <c r="H110" s="12">
        <f t="shared" si="52"/>
        <v>3461305.3200000003</v>
      </c>
      <c r="I110" s="13"/>
      <c r="J110" s="12">
        <f>+january!J110+february!J110+march!J110+april!J110+may!J110+june!J110</f>
        <v>0</v>
      </c>
      <c r="K110" s="12">
        <f>+january!K110+february!K110+march!K110+april!K110+may!K110+june!K110</f>
        <v>0</v>
      </c>
      <c r="L110" s="12">
        <f t="shared" si="53"/>
        <v>0</v>
      </c>
      <c r="M110" s="12"/>
      <c r="N110" s="12">
        <f t="shared" si="54"/>
        <v>20724000</v>
      </c>
      <c r="O110" s="12">
        <f t="shared" si="54"/>
        <v>17262694.68</v>
      </c>
      <c r="P110" s="14">
        <f t="shared" si="55"/>
        <v>3461305.3200000003</v>
      </c>
      <c r="Q110" s="17">
        <f t="shared" si="31"/>
        <v>0.83298082802547768</v>
      </c>
    </row>
    <row r="111" spans="2:21" ht="29.25" customHeight="1">
      <c r="B111" s="18"/>
      <c r="C111" s="10"/>
      <c r="D111" s="10"/>
      <c r="E111" s="22" t="s">
        <v>102</v>
      </c>
      <c r="F111" s="12">
        <f>+january!F111+february!F111+march!F111+april!F111+may!F111+june!F111</f>
        <v>8439000</v>
      </c>
      <c r="G111" s="12">
        <f>+january!G111+february!G111+march!G111+april!G111+may!G111+june!G111</f>
        <v>8435022.879999999</v>
      </c>
      <c r="H111" s="12">
        <f t="shared" si="52"/>
        <v>3977.1200000010431</v>
      </c>
      <c r="I111" s="13"/>
      <c r="J111" s="12">
        <f>+january!J111+february!J111+march!J111+april!J111+may!J111+june!J111</f>
        <v>0</v>
      </c>
      <c r="K111" s="12">
        <f>+january!K111+february!K111+march!K111+april!K111+may!K111+june!K111</f>
        <v>0</v>
      </c>
      <c r="L111" s="12">
        <f t="shared" si="53"/>
        <v>0</v>
      </c>
      <c r="M111" s="12"/>
      <c r="N111" s="12">
        <f t="shared" si="54"/>
        <v>8439000</v>
      </c>
      <c r="O111" s="12">
        <f t="shared" si="54"/>
        <v>8435022.879999999</v>
      </c>
      <c r="P111" s="14">
        <f t="shared" si="55"/>
        <v>3977.1200000010431</v>
      </c>
      <c r="Q111" s="17">
        <f t="shared" si="31"/>
        <v>0.9995287214124895</v>
      </c>
    </row>
    <row r="112" spans="2:21" ht="24.95" customHeight="1">
      <c r="B112" s="18"/>
      <c r="C112" s="10"/>
      <c r="D112" s="10"/>
      <c r="E112" s="28" t="s">
        <v>103</v>
      </c>
      <c r="F112" s="12">
        <f>+january!F112+february!F112+march!F112+april!F112+may!F112+june!F112</f>
        <v>5782000</v>
      </c>
      <c r="G112" s="12">
        <f>+january!G112+february!G112+march!G112+april!G112+may!G112+june!G112</f>
        <v>5784967.9900000002</v>
      </c>
      <c r="H112" s="12">
        <f t="shared" si="52"/>
        <v>-2967.9900000002235</v>
      </c>
      <c r="I112" s="13"/>
      <c r="J112" s="12">
        <f>+january!J112+february!J112+march!J112+april!J112+may!J112+june!J112</f>
        <v>0</v>
      </c>
      <c r="K112" s="12">
        <f>+january!K112+february!K112+march!K112+april!K112+may!K112+june!K112</f>
        <v>0</v>
      </c>
      <c r="L112" s="12">
        <f t="shared" si="53"/>
        <v>0</v>
      </c>
      <c r="M112" s="12"/>
      <c r="N112" s="12">
        <f t="shared" si="54"/>
        <v>5782000</v>
      </c>
      <c r="O112" s="12">
        <f t="shared" si="54"/>
        <v>5784967.9900000002</v>
      </c>
      <c r="P112" s="14">
        <f t="shared" si="55"/>
        <v>-2967.9900000002235</v>
      </c>
      <c r="Q112" s="17">
        <f t="shared" si="31"/>
        <v>1.000513315461778</v>
      </c>
    </row>
    <row r="113" spans="2:18" ht="24.95" customHeight="1">
      <c r="B113" s="18"/>
      <c r="C113" s="10"/>
      <c r="D113" s="10"/>
      <c r="E113" s="22" t="s">
        <v>104</v>
      </c>
      <c r="F113" s="12">
        <f>+january!F113+february!F113+march!F113+april!F113+may!F113+june!F113</f>
        <v>18032000</v>
      </c>
      <c r="G113" s="12">
        <f>+january!G113+february!G113+march!G113+april!G113+may!G113+june!G113</f>
        <v>17938779.629999999</v>
      </c>
      <c r="H113" s="12">
        <f t="shared" si="52"/>
        <v>93220.370000001043</v>
      </c>
      <c r="I113" s="13"/>
      <c r="J113" s="12">
        <f>+january!J113+february!J113+march!J113+april!J113+may!J113+june!J113</f>
        <v>0</v>
      </c>
      <c r="K113" s="12">
        <f>+january!K113+february!K113+march!K113+april!K113+may!K113+june!K113</f>
        <v>0</v>
      </c>
      <c r="L113" s="12">
        <f t="shared" si="53"/>
        <v>0</v>
      </c>
      <c r="M113" s="12"/>
      <c r="N113" s="12">
        <f t="shared" si="54"/>
        <v>18032000</v>
      </c>
      <c r="O113" s="12">
        <f t="shared" si="54"/>
        <v>17938779.629999999</v>
      </c>
      <c r="P113" s="14">
        <f t="shared" si="55"/>
        <v>93220.370000001043</v>
      </c>
      <c r="Q113" s="17">
        <f t="shared" si="31"/>
        <v>0.99483028116681449</v>
      </c>
    </row>
    <row r="114" spans="2:18" ht="29.25" customHeight="1">
      <c r="B114" s="18"/>
      <c r="C114" s="10"/>
      <c r="D114" s="10"/>
      <c r="E114" s="22" t="s">
        <v>105</v>
      </c>
      <c r="F114" s="12">
        <f>+january!F114+february!F114+march!F114+april!F114+may!F114+june!F114</f>
        <v>84163072</v>
      </c>
      <c r="G114" s="12">
        <f>+january!G114+february!G114+march!G114+april!G114+may!G114+june!G114</f>
        <v>61051200.509999998</v>
      </c>
      <c r="H114" s="12">
        <f t="shared" si="52"/>
        <v>23111871.490000002</v>
      </c>
      <c r="I114" s="13"/>
      <c r="J114" s="12">
        <f>+january!J114+february!J114+march!J114+april!J114+may!J114+june!J114</f>
        <v>0</v>
      </c>
      <c r="K114" s="12">
        <f>+january!K114+february!K114+march!K114+april!K114+may!K114+june!K114</f>
        <v>0</v>
      </c>
      <c r="L114" s="12">
        <f t="shared" si="53"/>
        <v>0</v>
      </c>
      <c r="M114" s="12"/>
      <c r="N114" s="12">
        <f t="shared" si="54"/>
        <v>84163072</v>
      </c>
      <c r="O114" s="12">
        <f t="shared" si="54"/>
        <v>61051200.509999998</v>
      </c>
      <c r="P114" s="14">
        <f t="shared" si="55"/>
        <v>23111871.490000002</v>
      </c>
      <c r="Q114" s="17">
        <f t="shared" si="31"/>
        <v>0.72539177883145711</v>
      </c>
    </row>
    <row r="115" spans="2:18" ht="29.25" customHeight="1">
      <c r="B115" s="18"/>
      <c r="C115" s="10"/>
      <c r="D115" s="10"/>
      <c r="E115" s="21" t="s">
        <v>106</v>
      </c>
      <c r="F115" s="12">
        <f>+january!F115+february!F115+march!F115+april!F115+may!F115+june!F115</f>
        <v>92074000</v>
      </c>
      <c r="G115" s="12">
        <f>+january!G115+february!G115+march!G115+april!G115+may!G115+june!G115</f>
        <v>60557179.390000008</v>
      </c>
      <c r="H115" s="12">
        <f t="shared" si="52"/>
        <v>31516820.609999992</v>
      </c>
      <c r="I115" s="13"/>
      <c r="J115" s="12">
        <f>+january!J115+february!J115+march!J115+april!J115+may!J115+june!J115</f>
        <v>0</v>
      </c>
      <c r="K115" s="12">
        <f>+january!K115+february!K115+march!K115+april!K115+may!K115+june!K115</f>
        <v>0</v>
      </c>
      <c r="L115" s="12">
        <f t="shared" si="53"/>
        <v>0</v>
      </c>
      <c r="M115" s="12"/>
      <c r="N115" s="12">
        <f t="shared" si="54"/>
        <v>92074000</v>
      </c>
      <c r="O115" s="12">
        <f t="shared" si="54"/>
        <v>60557179.390000008</v>
      </c>
      <c r="P115" s="14">
        <f t="shared" si="55"/>
        <v>31516820.609999992</v>
      </c>
      <c r="Q115" s="17">
        <f t="shared" si="31"/>
        <v>0.65770119023828666</v>
      </c>
    </row>
    <row r="116" spans="2:18" ht="24.95" customHeight="1">
      <c r="B116" s="18"/>
      <c r="C116" s="10"/>
      <c r="D116" s="10"/>
      <c r="E116" s="28"/>
      <c r="F116" s="12">
        <f>+january!F116+february!F116+march!F116+april!F116+may!F116+june!F116</f>
        <v>0</v>
      </c>
      <c r="G116" s="12">
        <f>+january!G116+february!G116+march!G116+april!G116+may!G116+june!G116</f>
        <v>0</v>
      </c>
      <c r="H116" s="12"/>
      <c r="I116" s="13"/>
      <c r="J116" s="12">
        <f>+january!J116+february!J116+march!J116+april!J116+may!J116+june!J116</f>
        <v>0</v>
      </c>
      <c r="K116" s="12">
        <f>+january!K116+february!K116+march!K116+april!K116+may!K116+june!K116</f>
        <v>0</v>
      </c>
      <c r="L116" s="12"/>
      <c r="M116" s="12"/>
      <c r="N116" s="12"/>
      <c r="O116" s="12"/>
      <c r="P116" s="14"/>
      <c r="Q116" s="17"/>
    </row>
    <row r="117" spans="2:18" ht="24.95" customHeight="1">
      <c r="B117" s="18"/>
      <c r="C117" s="20" t="s">
        <v>107</v>
      </c>
      <c r="D117" s="20"/>
      <c r="E117" s="10"/>
      <c r="F117" s="12">
        <f>+january!F117+february!F117+march!F117+april!F117+may!F117+june!F117</f>
        <v>0</v>
      </c>
      <c r="G117" s="12">
        <f>+january!G117+february!G117+march!G117+april!G117+may!G117+june!G117</f>
        <v>0</v>
      </c>
      <c r="H117" s="12"/>
      <c r="I117" s="13"/>
      <c r="J117" s="12">
        <f>+january!J117+february!J117+march!J117+april!J117+may!J117+june!J117</f>
        <v>0</v>
      </c>
      <c r="K117" s="12">
        <f>+january!K117+february!K117+march!K117+april!K117+may!K117+june!K117</f>
        <v>0</v>
      </c>
      <c r="L117" s="12"/>
      <c r="M117" s="12"/>
      <c r="N117" s="12"/>
      <c r="O117" s="12"/>
      <c r="P117" s="14"/>
      <c r="Q117" s="17"/>
    </row>
    <row r="118" spans="2:18" ht="24.95" customHeight="1">
      <c r="B118" s="18"/>
      <c r="C118" s="20"/>
      <c r="D118" s="20"/>
      <c r="E118" s="10" t="s">
        <v>108</v>
      </c>
      <c r="F118" s="12">
        <f>+january!F118+february!F118+march!F118+april!F118+may!F118+june!F118</f>
        <v>329410000</v>
      </c>
      <c r="G118" s="12">
        <f>+january!G118+february!G118+march!G118+april!G118+may!G118+june!G118</f>
        <v>317265887.72000003</v>
      </c>
      <c r="H118" s="12">
        <f>+F118-G118</f>
        <v>12144112.279999971</v>
      </c>
      <c r="I118" s="13"/>
      <c r="J118" s="12">
        <f>+january!J118+february!J118+march!J118+april!J118+may!J118+june!J118</f>
        <v>29376123.18</v>
      </c>
      <c r="K118" s="12">
        <f>+january!K118+february!K118+march!K118+april!K118+may!K118+june!K118</f>
        <v>29375707.41</v>
      </c>
      <c r="L118" s="12">
        <f>+J118-K118</f>
        <v>415.76999999955297</v>
      </c>
      <c r="M118" s="12"/>
      <c r="N118" s="12">
        <f t="shared" ref="N118:O121" si="56">+F118+J118</f>
        <v>358786123.18000001</v>
      </c>
      <c r="O118" s="12">
        <f t="shared" si="56"/>
        <v>346641595.13000005</v>
      </c>
      <c r="P118" s="14">
        <f>+N118-O118</f>
        <v>12144528.049999952</v>
      </c>
      <c r="Q118" s="17">
        <f t="shared" si="31"/>
        <v>0.9661510653133395</v>
      </c>
    </row>
    <row r="119" spans="2:18" ht="28.5" customHeight="1">
      <c r="B119" s="18"/>
      <c r="C119" s="10"/>
      <c r="D119" s="10"/>
      <c r="E119" s="21" t="s">
        <v>109</v>
      </c>
      <c r="F119" s="12">
        <f>+january!F119+february!F119+march!F119+april!F119+may!F119+june!F119</f>
        <v>160536263.66</v>
      </c>
      <c r="G119" s="12">
        <f>+january!G119+february!G119+march!G119+april!G119+may!G119+june!G119</f>
        <v>160536246.47999999</v>
      </c>
      <c r="H119" s="12">
        <f>+F119-G119</f>
        <v>17.180000007152557</v>
      </c>
      <c r="I119" s="13"/>
      <c r="J119" s="12">
        <f>+january!J119+february!J119+march!J119+april!J119+may!J119+june!J119</f>
        <v>47694640.450000003</v>
      </c>
      <c r="K119" s="12">
        <f>+january!K119+february!K119+march!K119+april!K119+may!K119+june!K119</f>
        <v>47694640.450000003</v>
      </c>
      <c r="L119" s="12">
        <f>+J119-K119</f>
        <v>0</v>
      </c>
      <c r="M119" s="12"/>
      <c r="N119" s="12">
        <f t="shared" si="56"/>
        <v>208230904.11000001</v>
      </c>
      <c r="O119" s="12">
        <f t="shared" si="56"/>
        <v>208230886.93000001</v>
      </c>
      <c r="P119" s="14">
        <f>+N119-O119</f>
        <v>17.180000007152557</v>
      </c>
      <c r="Q119" s="17">
        <f t="shared" si="31"/>
        <v>0.99999991749543571</v>
      </c>
    </row>
    <row r="120" spans="2:18" ht="28.5" customHeight="1">
      <c r="B120" s="18"/>
      <c r="C120" s="10"/>
      <c r="D120" s="10"/>
      <c r="E120" s="21" t="s">
        <v>110</v>
      </c>
      <c r="F120" s="12">
        <f>+january!F120+february!F120+march!F120+april!F120+may!F120+june!F120</f>
        <v>62415772</v>
      </c>
      <c r="G120" s="12">
        <f>+january!G120+february!G120+march!G120+april!G120+may!G120+june!G120</f>
        <v>62398506.350000001</v>
      </c>
      <c r="H120" s="12">
        <f>+F120-G120</f>
        <v>17265.64999999851</v>
      </c>
      <c r="I120" s="13"/>
      <c r="J120" s="12">
        <f>+january!J120+february!J120+march!J120+april!J120+may!J120+june!J120</f>
        <v>6226036.4199999999</v>
      </c>
      <c r="K120" s="12">
        <f>+january!K120+february!K120+march!K120+april!K120+may!K120+june!K120</f>
        <v>6226036.4199999999</v>
      </c>
      <c r="L120" s="12">
        <f>+J120-K120</f>
        <v>0</v>
      </c>
      <c r="M120" s="12"/>
      <c r="N120" s="12">
        <f t="shared" si="56"/>
        <v>68641808.420000002</v>
      </c>
      <c r="O120" s="12">
        <f t="shared" si="56"/>
        <v>68624542.769999996</v>
      </c>
      <c r="P120" s="14">
        <f>+N120-O120</f>
        <v>17265.65000000596</v>
      </c>
      <c r="Q120" s="17">
        <f t="shared" si="31"/>
        <v>0.99974846743701207</v>
      </c>
    </row>
    <row r="121" spans="2:18" ht="28.5" customHeight="1">
      <c r="B121" s="18"/>
      <c r="C121" s="10"/>
      <c r="D121" s="10"/>
      <c r="E121" s="22" t="s">
        <v>111</v>
      </c>
      <c r="F121" s="12">
        <f>+january!F121+february!F121+march!F121+april!F121+may!F121+june!F121</f>
        <v>70561017</v>
      </c>
      <c r="G121" s="12">
        <f>+january!G121+february!G121+march!G121+april!G121+may!G121+june!G121</f>
        <v>44155720.509999998</v>
      </c>
      <c r="H121" s="12">
        <f>+F121-G121</f>
        <v>26405296.490000002</v>
      </c>
      <c r="I121" s="13"/>
      <c r="J121" s="12">
        <f>+january!J121+february!J121+march!J121+april!J121+may!J121+june!J121</f>
        <v>0</v>
      </c>
      <c r="K121" s="12">
        <f>+january!K121+february!K121+march!K121+april!K121+may!K121+june!K121</f>
        <v>0</v>
      </c>
      <c r="L121" s="12">
        <f>+J121-K121</f>
        <v>0</v>
      </c>
      <c r="M121" s="12"/>
      <c r="N121" s="12">
        <f t="shared" si="56"/>
        <v>70561017</v>
      </c>
      <c r="O121" s="12">
        <f t="shared" si="56"/>
        <v>44155720.509999998</v>
      </c>
      <c r="P121" s="14">
        <f>+N121-O121</f>
        <v>26405296.490000002</v>
      </c>
      <c r="Q121" s="17">
        <f t="shared" si="31"/>
        <v>0.62578067022475026</v>
      </c>
    </row>
    <row r="122" spans="2:18" ht="24.95" customHeight="1">
      <c r="B122" s="18"/>
      <c r="C122" s="10"/>
      <c r="D122" s="10"/>
      <c r="E122" s="22"/>
      <c r="F122" s="12">
        <f>+january!F122+february!F122+march!F122+april!F122+may!F122+june!F122</f>
        <v>0</v>
      </c>
      <c r="G122" s="12">
        <f>+january!G122+february!G122+march!G122+april!G122+may!G122+june!G122</f>
        <v>0</v>
      </c>
      <c r="H122" s="12"/>
      <c r="I122" s="13"/>
      <c r="J122" s="12">
        <f>+january!J122+february!J122+march!J122+april!J122+may!J122+june!J122</f>
        <v>0</v>
      </c>
      <c r="K122" s="12">
        <f>+january!K122+february!K122+march!K122+april!K122+may!K122+june!K122</f>
        <v>0</v>
      </c>
      <c r="L122" s="12"/>
      <c r="M122" s="12"/>
      <c r="N122" s="12"/>
      <c r="O122" s="12"/>
      <c r="P122" s="14"/>
      <c r="Q122" s="17"/>
    </row>
    <row r="123" spans="2:18" ht="24.95" customHeight="1">
      <c r="B123" s="18"/>
      <c r="C123" s="20" t="s">
        <v>112</v>
      </c>
      <c r="D123" s="20"/>
      <c r="E123" s="10"/>
      <c r="F123" s="12">
        <f>+january!F123+february!F123+march!F123+april!F123+may!F123+june!F123</f>
        <v>0</v>
      </c>
      <c r="G123" s="12">
        <f>+january!G123+february!G123+march!G123+april!G123+may!G123+june!G123</f>
        <v>0</v>
      </c>
      <c r="H123" s="12"/>
      <c r="I123" s="13"/>
      <c r="J123" s="12">
        <f>+january!J123+february!J123+march!J123+april!J123+may!J123+june!J123</f>
        <v>0</v>
      </c>
      <c r="K123" s="12">
        <f>+january!K123+february!K123+march!K123+april!K123+may!K123+june!K123</f>
        <v>0</v>
      </c>
      <c r="L123" s="12"/>
      <c r="M123" s="12"/>
      <c r="N123" s="12"/>
      <c r="O123" s="12"/>
      <c r="P123" s="14"/>
      <c r="Q123" s="17"/>
    </row>
    <row r="124" spans="2:18" ht="24.95" customHeight="1">
      <c r="B124" s="18"/>
      <c r="C124" s="20"/>
      <c r="D124" s="20"/>
      <c r="E124" s="10" t="s">
        <v>113</v>
      </c>
      <c r="F124" s="12">
        <f>+january!F124+february!F124+march!F124+april!F124+may!F124+june!F124</f>
        <v>272686000</v>
      </c>
      <c r="G124" s="12">
        <f>+january!G124+february!G124+march!G124+april!G124+may!G124+june!G124</f>
        <v>186753549.30000001</v>
      </c>
      <c r="H124" s="12">
        <f>+F124-G124</f>
        <v>85932450.699999988</v>
      </c>
      <c r="I124" s="13"/>
      <c r="J124" s="12">
        <f>+january!J124+february!J124+march!J124+april!J124+may!J124+june!J124</f>
        <v>13212800</v>
      </c>
      <c r="K124" s="12">
        <f>+january!K124+february!K124+march!K124+april!K124+may!K124+june!K124</f>
        <v>31630135.600000001</v>
      </c>
      <c r="L124" s="12">
        <f>+J124-K124</f>
        <v>-18417335.600000001</v>
      </c>
      <c r="M124" s="12"/>
      <c r="N124" s="12">
        <f t="shared" ref="N124:O126" si="57">+F124+J124</f>
        <v>285898800</v>
      </c>
      <c r="O124" s="12">
        <f t="shared" si="57"/>
        <v>218383684.90000001</v>
      </c>
      <c r="P124" s="14">
        <f>+N124-O124</f>
        <v>67515115.099999994</v>
      </c>
      <c r="Q124" s="17">
        <f t="shared" si="31"/>
        <v>0.76384960307633332</v>
      </c>
      <c r="R124" s="2" t="s">
        <v>140</v>
      </c>
    </row>
    <row r="125" spans="2:18" ht="24.95" customHeight="1">
      <c r="B125" s="18"/>
      <c r="C125" s="10"/>
      <c r="D125" s="10"/>
      <c r="E125" s="22" t="s">
        <v>115</v>
      </c>
      <c r="F125" s="12">
        <f>+january!F125+february!F125+march!F125+april!F125+may!F125+june!F125</f>
        <v>291147475</v>
      </c>
      <c r="G125" s="12">
        <f>+january!G125+february!G125+march!G125+april!G125+may!G125+june!G125</f>
        <v>220810572.80000001</v>
      </c>
      <c r="H125" s="12">
        <f>+F125-G125</f>
        <v>70336902.199999988</v>
      </c>
      <c r="I125" s="13"/>
      <c r="J125" s="12">
        <f>+january!J125+february!J125+march!J125+april!J125+may!J125+june!J125</f>
        <v>0</v>
      </c>
      <c r="K125" s="12">
        <f>+january!K125+february!K125+march!K125+april!K125+may!K125+june!K125</f>
        <v>0</v>
      </c>
      <c r="L125" s="12">
        <f>+J125-K125</f>
        <v>0</v>
      </c>
      <c r="M125" s="12"/>
      <c r="N125" s="12">
        <f t="shared" si="57"/>
        <v>291147475</v>
      </c>
      <c r="O125" s="12">
        <f t="shared" si="57"/>
        <v>220810572.80000001</v>
      </c>
      <c r="P125" s="14">
        <f>+N125-O125</f>
        <v>70336902.199999988</v>
      </c>
      <c r="Q125" s="17">
        <f t="shared" si="31"/>
        <v>0.7584148644943598</v>
      </c>
    </row>
    <row r="126" spans="2:18" ht="28.5" customHeight="1">
      <c r="B126" s="18"/>
      <c r="C126" s="10"/>
      <c r="D126" s="10"/>
      <c r="E126" s="22" t="s">
        <v>116</v>
      </c>
      <c r="F126" s="12">
        <f>+january!F126+february!F126+march!F126+april!F126+may!F126+june!F126</f>
        <v>197667708.72</v>
      </c>
      <c r="G126" s="12">
        <f>+january!G126+february!G126+march!G126+april!G126+may!G126+june!G126</f>
        <v>197742141.06</v>
      </c>
      <c r="H126" s="12">
        <f>+F126-G126</f>
        <v>-74432.340000003576</v>
      </c>
      <c r="I126" s="13"/>
      <c r="J126" s="12">
        <f>+january!J126+february!J126+march!J126+april!J126+may!J126+june!J126</f>
        <v>0</v>
      </c>
      <c r="K126" s="12">
        <f>+january!K126+february!K126+march!K126+april!K126+may!K126+june!K126</f>
        <v>0</v>
      </c>
      <c r="L126" s="12">
        <f>+J126-K126</f>
        <v>0</v>
      </c>
      <c r="M126" s="12"/>
      <c r="N126" s="12">
        <f t="shared" si="57"/>
        <v>197667708.72</v>
      </c>
      <c r="O126" s="12">
        <f t="shared" si="57"/>
        <v>197742141.06</v>
      </c>
      <c r="P126" s="14">
        <f>+N126-O126</f>
        <v>-74432.340000003576</v>
      </c>
      <c r="Q126" s="17">
        <f t="shared" si="31"/>
        <v>1.0003765528546973</v>
      </c>
    </row>
    <row r="127" spans="2:18" ht="24.95" customHeight="1">
      <c r="B127" s="18"/>
      <c r="C127" s="10"/>
      <c r="D127" s="10"/>
      <c r="E127" s="22"/>
      <c r="F127" s="12">
        <f>+january!F127+february!F127+march!F127+april!F127+may!F127+june!F127</f>
        <v>0</v>
      </c>
      <c r="G127" s="12">
        <f>+january!G127+february!G127+march!G127+april!G127+may!G127+june!G127</f>
        <v>0</v>
      </c>
      <c r="H127" s="12"/>
      <c r="I127" s="13"/>
      <c r="J127" s="12">
        <f>+january!J127+february!J127+march!J127+april!J127+may!J127+june!J127</f>
        <v>0</v>
      </c>
      <c r="K127" s="12">
        <f>+january!K127+february!K127+march!K127+april!K127+may!K127+june!K127</f>
        <v>0</v>
      </c>
      <c r="L127" s="12"/>
      <c r="M127" s="12"/>
      <c r="N127" s="12"/>
      <c r="O127" s="12"/>
      <c r="P127" s="14"/>
      <c r="Q127" s="17"/>
    </row>
    <row r="128" spans="2:18" ht="24.95" customHeight="1">
      <c r="B128" s="18"/>
      <c r="C128" s="20" t="s">
        <v>117</v>
      </c>
      <c r="D128" s="20"/>
      <c r="E128" s="10"/>
      <c r="F128" s="12">
        <f>+january!F128+february!F128+march!F128+april!F128+may!F128+june!F128</f>
        <v>0</v>
      </c>
      <c r="G128" s="12">
        <f>+january!G128+february!G128+march!G128+april!G128+may!G128+june!G128</f>
        <v>0</v>
      </c>
      <c r="H128" s="12"/>
      <c r="I128" s="13"/>
      <c r="J128" s="12">
        <f>+january!J128+february!J128+march!J128+april!J128+may!J128+june!J128</f>
        <v>0</v>
      </c>
      <c r="K128" s="12">
        <f>+january!K128+february!K128+march!K128+april!K128+may!K128+june!K128</f>
        <v>0</v>
      </c>
      <c r="L128" s="12"/>
      <c r="M128" s="12"/>
      <c r="N128" s="12"/>
      <c r="O128" s="12"/>
      <c r="P128" s="14"/>
      <c r="Q128" s="17"/>
    </row>
    <row r="129" spans="2:17" ht="24.95" customHeight="1">
      <c r="B129" s="18"/>
      <c r="C129" s="20"/>
      <c r="D129" s="20"/>
      <c r="E129" s="10" t="s">
        <v>118</v>
      </c>
      <c r="F129" s="12">
        <f>+january!F129+february!F129+march!F129+april!F129+may!F129+june!F129</f>
        <v>117647000</v>
      </c>
      <c r="G129" s="12">
        <f>+january!G129+february!G129+march!G129+april!G129+may!G129+june!G129</f>
        <v>117274457.67999999</v>
      </c>
      <c r="H129" s="12">
        <f>+F129-G129</f>
        <v>372542.32000000775</v>
      </c>
      <c r="I129" s="13"/>
      <c r="J129" s="12">
        <f>+january!J129+february!J129+march!J129+april!J129+may!J129+june!J129</f>
        <v>60000000</v>
      </c>
      <c r="K129" s="12">
        <f>+january!K129+february!K129+march!K129+april!K129+may!K129+june!K129</f>
        <v>60000000</v>
      </c>
      <c r="L129" s="12">
        <f>+J129-K129</f>
        <v>0</v>
      </c>
      <c r="M129" s="12"/>
      <c r="N129" s="12">
        <f t="shared" ref="N129:O131" si="58">+F129+J129</f>
        <v>177647000</v>
      </c>
      <c r="O129" s="12">
        <f t="shared" si="58"/>
        <v>177274457.68000001</v>
      </c>
      <c r="P129" s="14">
        <f>+N129-O129</f>
        <v>372542.31999999285</v>
      </c>
      <c r="Q129" s="17">
        <f t="shared" si="31"/>
        <v>0.99790290677579696</v>
      </c>
    </row>
    <row r="130" spans="2:17" ht="27.75" customHeight="1">
      <c r="B130" s="18"/>
      <c r="C130" s="10"/>
      <c r="D130" s="10"/>
      <c r="E130" s="22" t="s">
        <v>119</v>
      </c>
      <c r="F130" s="12">
        <f>+january!F130+february!F130+march!F130+april!F130+may!F130+june!F130</f>
        <v>230811741</v>
      </c>
      <c r="G130" s="12">
        <f>+january!G130+february!G130+march!G130+april!G130+may!G130+june!G130</f>
        <v>230811741.44999999</v>
      </c>
      <c r="H130" s="12">
        <f>+F130-G130</f>
        <v>-0.44999998807907104</v>
      </c>
      <c r="I130" s="13"/>
      <c r="J130" s="12">
        <f>+january!J130+february!J130+march!J130+april!J130+may!J130+june!J130</f>
        <v>0</v>
      </c>
      <c r="K130" s="12">
        <f>+january!K130+february!K130+march!K130+april!K130+may!K130+june!K130</f>
        <v>0</v>
      </c>
      <c r="L130" s="12">
        <f>+J130-K130</f>
        <v>0</v>
      </c>
      <c r="M130" s="12"/>
      <c r="N130" s="12">
        <f t="shared" si="58"/>
        <v>230811741</v>
      </c>
      <c r="O130" s="12">
        <f t="shared" si="58"/>
        <v>230811741.44999999</v>
      </c>
      <c r="P130" s="14">
        <f>+N130-O130</f>
        <v>-0.44999998807907104</v>
      </c>
      <c r="Q130" s="17">
        <f t="shared" si="31"/>
        <v>1.0000000019496409</v>
      </c>
    </row>
    <row r="131" spans="2:17" ht="24.95" customHeight="1">
      <c r="B131" s="18"/>
      <c r="C131" s="10"/>
      <c r="D131" s="10"/>
      <c r="E131" s="28" t="s">
        <v>120</v>
      </c>
      <c r="F131" s="12">
        <f>+january!F131+february!F131+march!F131+april!F131+may!F131+june!F131</f>
        <v>25330000</v>
      </c>
      <c r="G131" s="12">
        <f>+january!G131+february!G131+march!G131+april!G131+may!G131+june!G131</f>
        <v>25329787.109999999</v>
      </c>
      <c r="H131" s="12">
        <f>+F131-G131</f>
        <v>212.89000000059605</v>
      </c>
      <c r="I131" s="13"/>
      <c r="J131" s="12">
        <f>+january!J131+february!J131+march!J131+april!J131+may!J131+june!J131</f>
        <v>0</v>
      </c>
      <c r="K131" s="12">
        <f>+january!K131+february!K131+march!K131+april!K131+may!K131+june!K131</f>
        <v>0</v>
      </c>
      <c r="L131" s="12">
        <f>+J131-K131</f>
        <v>0</v>
      </c>
      <c r="M131" s="12"/>
      <c r="N131" s="12">
        <f t="shared" si="58"/>
        <v>25330000</v>
      </c>
      <c r="O131" s="12">
        <f t="shared" si="58"/>
        <v>25329787.109999999</v>
      </c>
      <c r="P131" s="14">
        <f>+N131-O131</f>
        <v>212.89000000059605</v>
      </c>
      <c r="Q131" s="17">
        <f t="shared" si="31"/>
        <v>0.99999159534149229</v>
      </c>
    </row>
    <row r="132" spans="2:17" ht="24.95" customHeight="1">
      <c r="B132" s="18"/>
      <c r="C132" s="10"/>
      <c r="D132" s="10"/>
      <c r="E132" s="28"/>
      <c r="F132" s="12">
        <f>+january!F132+february!F132+march!F132+april!F132+may!F132+june!F132</f>
        <v>0</v>
      </c>
      <c r="G132" s="12">
        <f>+january!G132+february!G132+march!G132+april!G132+may!G132+june!G132</f>
        <v>0</v>
      </c>
      <c r="H132" s="12"/>
      <c r="I132" s="13"/>
      <c r="J132" s="12">
        <f>+january!J132+february!J132+march!J132+april!J132+may!J132+june!J132</f>
        <v>0</v>
      </c>
      <c r="K132" s="12">
        <f>+january!K132+february!K132+march!K132+april!K132+may!K132+june!K132</f>
        <v>0</v>
      </c>
      <c r="L132" s="12"/>
      <c r="M132" s="12"/>
      <c r="N132" s="12"/>
      <c r="O132" s="12"/>
      <c r="P132" s="14"/>
      <c r="Q132" s="17"/>
    </row>
    <row r="133" spans="2:17" ht="24.95" customHeight="1">
      <c r="B133" s="18"/>
      <c r="C133" s="20" t="s">
        <v>121</v>
      </c>
      <c r="D133" s="20"/>
      <c r="E133" s="10"/>
      <c r="F133" s="12">
        <f>+january!F133+february!F133+march!F133+april!F133+may!F133+june!F133</f>
        <v>0</v>
      </c>
      <c r="G133" s="12">
        <f>+january!G133+february!G133+march!G133+april!G133+may!G133+june!G133</f>
        <v>0</v>
      </c>
      <c r="H133" s="12"/>
      <c r="I133" s="13"/>
      <c r="J133" s="12">
        <f>+january!J133+february!J133+march!J133+april!J133+may!J133+june!J133</f>
        <v>0</v>
      </c>
      <c r="K133" s="12">
        <f>+january!K133+february!K133+march!K133+april!K133+may!K133+june!K133</f>
        <v>0</v>
      </c>
      <c r="L133" s="12"/>
      <c r="M133" s="12"/>
      <c r="N133" s="12"/>
      <c r="O133" s="12"/>
      <c r="P133" s="14"/>
      <c r="Q133" s="17"/>
    </row>
    <row r="134" spans="2:17" ht="24.95" customHeight="1">
      <c r="B134" s="18"/>
      <c r="C134" s="20"/>
      <c r="D134" s="20"/>
      <c r="E134" s="10" t="s">
        <v>122</v>
      </c>
      <c r="F134" s="12">
        <f>+january!F134+february!F134+march!F134+april!F134+may!F134+june!F134</f>
        <v>410322000</v>
      </c>
      <c r="G134" s="12">
        <f>+january!G134+february!G134+march!G134+april!G134+may!G134+june!G134</f>
        <v>222267908.63</v>
      </c>
      <c r="H134" s="12">
        <f>+F134-G134</f>
        <v>188054091.37</v>
      </c>
      <c r="I134" s="13"/>
      <c r="J134" s="12">
        <f>+january!J134+february!J134+march!J134+april!J134+may!J134+june!J134</f>
        <v>1076000</v>
      </c>
      <c r="K134" s="12">
        <f>+january!K134+february!K134+march!K134+april!K134+may!K134+june!K134</f>
        <v>1889234.32</v>
      </c>
      <c r="L134" s="12">
        <f>+J134-K134</f>
        <v>-813234.32000000007</v>
      </c>
      <c r="M134" s="12"/>
      <c r="N134" s="12">
        <f t="shared" ref="N134:O136" si="59">+F134+J134</f>
        <v>411398000</v>
      </c>
      <c r="O134" s="12">
        <f t="shared" si="59"/>
        <v>224157142.94999999</v>
      </c>
      <c r="P134" s="14">
        <f>+N134-O134</f>
        <v>187240857.05000001</v>
      </c>
      <c r="Q134" s="17">
        <f t="shared" si="31"/>
        <v>0.54486687575048975</v>
      </c>
    </row>
    <row r="135" spans="2:17" ht="27.75" customHeight="1">
      <c r="B135" s="18"/>
      <c r="C135" s="10"/>
      <c r="D135" s="10"/>
      <c r="E135" s="22" t="s">
        <v>123</v>
      </c>
      <c r="F135" s="12">
        <f>+january!F135+february!F135+march!F135+april!F135+may!F135+june!F135</f>
        <v>152144577</v>
      </c>
      <c r="G135" s="12">
        <f>+january!G135+february!G135+march!G135+april!G135+may!G135+june!G135</f>
        <v>66993981.709999993</v>
      </c>
      <c r="H135" s="12">
        <f>+F135-G135</f>
        <v>85150595.290000007</v>
      </c>
      <c r="I135" s="13"/>
      <c r="J135" s="12">
        <f>+january!J135+february!J135+march!J135+april!J135+may!J135+june!J135</f>
        <v>0</v>
      </c>
      <c r="K135" s="12">
        <f>+january!K135+february!K135+march!K135+april!K135+may!K135+june!K135</f>
        <v>0</v>
      </c>
      <c r="L135" s="12">
        <f>+J135-K135</f>
        <v>0</v>
      </c>
      <c r="M135" s="12"/>
      <c r="N135" s="12">
        <f t="shared" si="59"/>
        <v>152144577</v>
      </c>
      <c r="O135" s="12">
        <f t="shared" si="59"/>
        <v>66993981.709999993</v>
      </c>
      <c r="P135" s="14">
        <f>+N135-O135</f>
        <v>85150595.290000007</v>
      </c>
      <c r="Q135" s="17">
        <f t="shared" si="31"/>
        <v>0.44033105241733322</v>
      </c>
    </row>
    <row r="136" spans="2:17" ht="27.75" customHeight="1">
      <c r="B136" s="18"/>
      <c r="C136" s="10"/>
      <c r="D136" s="10"/>
      <c r="E136" s="22" t="s">
        <v>124</v>
      </c>
      <c r="F136" s="12">
        <f>+january!F136+february!F136+march!F136+april!F136+may!F136+june!F136</f>
        <v>72159000</v>
      </c>
      <c r="G136" s="12">
        <f>+january!G136+february!G136+march!G136+april!G136+may!G136+june!G136</f>
        <v>46512283.980000004</v>
      </c>
      <c r="H136" s="12">
        <f>+F136-G136</f>
        <v>25646716.019999996</v>
      </c>
      <c r="I136" s="13"/>
      <c r="J136" s="12">
        <f>+january!J136+february!J136+march!J136+april!J136+may!J136+june!J136</f>
        <v>0</v>
      </c>
      <c r="K136" s="12">
        <f>+january!K136+february!K136+march!K136+april!K136+may!K136+june!K136</f>
        <v>0</v>
      </c>
      <c r="L136" s="12">
        <f>+J136-K136</f>
        <v>0</v>
      </c>
      <c r="M136" s="12"/>
      <c r="N136" s="12">
        <f t="shared" si="59"/>
        <v>72159000</v>
      </c>
      <c r="O136" s="12">
        <f t="shared" si="59"/>
        <v>46512283.980000004</v>
      </c>
      <c r="P136" s="14">
        <f>+N136-O136</f>
        <v>25646716.019999996</v>
      </c>
      <c r="Q136" s="17">
        <f t="shared" si="31"/>
        <v>0.64458049557227792</v>
      </c>
    </row>
    <row r="137" spans="2:17" ht="27.75" customHeight="1">
      <c r="B137" s="18"/>
      <c r="C137" s="10"/>
      <c r="D137" s="10"/>
      <c r="E137" s="31" t="s">
        <v>51</v>
      </c>
      <c r="F137" s="32">
        <f>SUM(F108:F136)</f>
        <v>2918261626.3800001</v>
      </c>
      <c r="G137" s="32">
        <f t="shared" ref="G137:O137" si="60">SUM(G108:G136)</f>
        <v>2360607272.1100001</v>
      </c>
      <c r="H137" s="32">
        <f t="shared" si="60"/>
        <v>557654354.26999998</v>
      </c>
      <c r="I137" s="32">
        <f t="shared" si="60"/>
        <v>0</v>
      </c>
      <c r="J137" s="32">
        <f>SUM(J108:J136)</f>
        <v>254907647.23999998</v>
      </c>
      <c r="K137" s="32">
        <f>SUM(K108:K136)</f>
        <v>264690749.82999998</v>
      </c>
      <c r="L137" s="32">
        <f>SUM(L108:L136)</f>
        <v>-9783102.5899999999</v>
      </c>
      <c r="M137" s="32">
        <f t="shared" si="60"/>
        <v>0</v>
      </c>
      <c r="N137" s="32">
        <f t="shared" si="60"/>
        <v>3173169273.6199999</v>
      </c>
      <c r="O137" s="32">
        <f t="shared" si="60"/>
        <v>2625298021.9400001</v>
      </c>
      <c r="P137" s="34">
        <f>SUM(P108:P136)</f>
        <v>547871251.67999995</v>
      </c>
      <c r="Q137" s="17">
        <f t="shared" si="31"/>
        <v>0.82734257001834011</v>
      </c>
    </row>
    <row r="138" spans="2:17" ht="24.95" customHeight="1">
      <c r="B138" s="18"/>
      <c r="C138" s="10"/>
      <c r="D138" s="10"/>
      <c r="E138" s="22"/>
      <c r="F138" s="12"/>
      <c r="G138" s="12"/>
      <c r="H138" s="12"/>
      <c r="I138" s="13"/>
      <c r="J138" s="12"/>
      <c r="K138" s="12"/>
      <c r="L138" s="12"/>
      <c r="M138" s="12"/>
      <c r="N138" s="12"/>
      <c r="O138" s="12"/>
      <c r="P138" s="14"/>
      <c r="Q138" s="17"/>
    </row>
    <row r="139" spans="2:17" s="48" customFormat="1" ht="15.75" thickBot="1">
      <c r="B139" s="18"/>
      <c r="C139" s="24" t="s">
        <v>147</v>
      </c>
      <c r="D139" s="10"/>
      <c r="E139" s="22"/>
      <c r="F139" s="32"/>
      <c r="G139" s="32"/>
      <c r="H139" s="32"/>
      <c r="I139" s="33"/>
      <c r="J139" s="32"/>
      <c r="K139" s="32"/>
      <c r="L139" s="32"/>
      <c r="M139" s="46">
        <f t="shared" ref="M139" si="61">+M8+M51+M81+M104+M137+M49+M50</f>
        <v>0</v>
      </c>
      <c r="N139" s="32"/>
      <c r="O139" s="32"/>
      <c r="P139" s="32"/>
      <c r="Q139" s="17"/>
    </row>
    <row r="140" spans="2:17" ht="28.5" customHeight="1" thickTop="1" thickBot="1">
      <c r="B140" s="18"/>
      <c r="C140" s="10"/>
      <c r="D140" s="10"/>
      <c r="E140" s="10" t="s">
        <v>148</v>
      </c>
      <c r="F140" s="12">
        <f>+january!F140+february!F140+march!F140+april!F140+may!F140+june!F140</f>
        <v>183510000</v>
      </c>
      <c r="G140" s="12">
        <f>+january!G140+february!G140+march!G140+april!G140+may!G140+june!G140</f>
        <v>129958006.23999999</v>
      </c>
      <c r="H140" s="12">
        <f>+F140-G140</f>
        <v>53551993.760000005</v>
      </c>
      <c r="I140" s="33"/>
      <c r="J140" s="12">
        <f>+january!J140+february!J140+march!J140+april!J140+may!J140+june!J140</f>
        <v>0</v>
      </c>
      <c r="K140" s="12">
        <f>+january!K140+february!K140+march!K140+april!K140+may!K140+june!K140</f>
        <v>0</v>
      </c>
      <c r="L140" s="12">
        <f>+J140-K140</f>
        <v>0</v>
      </c>
      <c r="M140" s="54"/>
      <c r="N140" s="12">
        <f t="shared" ref="N140:N141" si="62">+F140+J140</f>
        <v>183510000</v>
      </c>
      <c r="O140" s="12">
        <f t="shared" ref="O140:O141" si="63">+G140+K140</f>
        <v>129958006.23999999</v>
      </c>
      <c r="P140" s="14">
        <f>+N140-O140</f>
        <v>53551993.760000005</v>
      </c>
      <c r="Q140" s="17">
        <f t="shared" ref="Q140:Q141" si="64">+O140/N140</f>
        <v>0.70817942477249196</v>
      </c>
    </row>
    <row r="141" spans="2:17" ht="24.95" customHeight="1">
      <c r="B141" s="18"/>
      <c r="C141" s="10"/>
      <c r="D141" s="10"/>
      <c r="E141" s="10" t="s">
        <v>149</v>
      </c>
      <c r="F141" s="12">
        <f>+january!F141+february!F141+march!F141+april!F141+may!F141+june!F141</f>
        <v>157841000</v>
      </c>
      <c r="G141" s="12">
        <f>+january!G141+february!G141+march!G141+april!G141+may!G141+june!G141</f>
        <v>117375869.16999999</v>
      </c>
      <c r="H141" s="12">
        <f>+F141-G141</f>
        <v>40465130.830000013</v>
      </c>
      <c r="I141" s="33"/>
      <c r="J141" s="12">
        <f>+january!J141+february!J141+march!J141+april!J141+may!J141+june!J141</f>
        <v>0</v>
      </c>
      <c r="K141" s="12">
        <f>+january!K141+february!K141+march!K141+april!K141+may!K141+june!K141</f>
        <v>0</v>
      </c>
      <c r="L141" s="12">
        <f>+J141-K141</f>
        <v>0</v>
      </c>
      <c r="M141" s="30"/>
      <c r="N141" s="12">
        <f t="shared" si="62"/>
        <v>157841000</v>
      </c>
      <c r="O141" s="12">
        <f t="shared" si="63"/>
        <v>117375869.16999999</v>
      </c>
      <c r="P141" s="14">
        <f>+N141-O141</f>
        <v>40465130.830000013</v>
      </c>
      <c r="Q141" s="17">
        <f t="shared" si="64"/>
        <v>0.74363358804112989</v>
      </c>
    </row>
    <row r="142" spans="2:17" ht="24.95" customHeight="1">
      <c r="B142" s="18"/>
      <c r="C142" s="10"/>
      <c r="D142" s="10"/>
      <c r="E142" s="22"/>
      <c r="F142" s="12"/>
      <c r="G142" s="12"/>
      <c r="H142" s="12"/>
      <c r="I142" s="13"/>
      <c r="J142" s="12"/>
      <c r="K142" s="12"/>
      <c r="L142" s="12"/>
      <c r="N142" s="12"/>
      <c r="O142" s="12"/>
      <c r="P142" s="12"/>
      <c r="Q142" s="17"/>
    </row>
    <row r="143" spans="2:17" ht="24.95" customHeight="1" thickBot="1">
      <c r="B143" s="44"/>
      <c r="C143" s="24"/>
      <c r="D143" s="24"/>
      <c r="E143" s="45" t="s">
        <v>125</v>
      </c>
      <c r="F143" s="46">
        <f>+F8+F51+F81+F104+F137+F49+F50+F140+F141</f>
        <v>16797823199.540001</v>
      </c>
      <c r="G143" s="46">
        <f t="shared" ref="G143:H143" si="65">+G8+G51+G81+G104+G137+G49+G50+G140+G141</f>
        <v>14129712956.309376</v>
      </c>
      <c r="H143" s="46">
        <f t="shared" si="65"/>
        <v>2668110243.2306256</v>
      </c>
      <c r="I143" s="46">
        <f t="shared" ref="I143" si="66">+I8+I51+I81+I104+I137+I49+I50</f>
        <v>2208000</v>
      </c>
      <c r="J143" s="46">
        <f>+J8+J51+J81+J104+J137+J49+J50+J140+J141</f>
        <v>1100081213.77</v>
      </c>
      <c r="K143" s="46">
        <f t="shared" ref="K143:L143" si="67">+K8+K51+K81+K104+K137+K49+K50+K140+K141</f>
        <v>1108088507.4199998</v>
      </c>
      <c r="L143" s="46">
        <f t="shared" si="67"/>
        <v>-8007293.6499999799</v>
      </c>
      <c r="N143" s="46">
        <f>+N8+N51+N81+N104+N137+N49+N50+N140+N141</f>
        <v>17897904413.310001</v>
      </c>
      <c r="O143" s="46">
        <f t="shared" ref="O143:P143" si="68">+O8+O51+O81+O104+O137+O49+O50+O140+O141</f>
        <v>15237801463.729376</v>
      </c>
      <c r="P143" s="46">
        <f t="shared" si="68"/>
        <v>2660102949.580626</v>
      </c>
      <c r="Q143" s="47">
        <f>+O143/N143</f>
        <v>0.85137349668699724</v>
      </c>
    </row>
    <row r="144" spans="2:17" ht="24.95" customHeight="1" thickTop="1" thickBot="1">
      <c r="B144" s="49"/>
      <c r="C144" s="50"/>
      <c r="D144" s="50"/>
      <c r="E144" s="51"/>
      <c r="F144" s="52"/>
      <c r="G144" s="52"/>
      <c r="H144" s="52"/>
      <c r="I144" s="53"/>
      <c r="J144" s="54"/>
      <c r="K144" s="54"/>
      <c r="L144" s="54"/>
      <c r="N144" s="54"/>
      <c r="O144" s="54"/>
      <c r="P144" s="54"/>
      <c r="Q144" s="56"/>
    </row>
    <row r="145" spans="6:16" ht="17.25" customHeight="1">
      <c r="F145" s="30">
        <f>+F143+J143</f>
        <v>17897904413.310001</v>
      </c>
      <c r="G145" s="30">
        <f>+G143+K143</f>
        <v>15237801463.729376</v>
      </c>
      <c r="H145" s="30">
        <f>+F145-G145</f>
        <v>2660102949.5806255</v>
      </c>
      <c r="I145" s="30"/>
      <c r="J145" s="30"/>
      <c r="K145" s="30"/>
      <c r="L145" s="30"/>
    </row>
    <row r="146" spans="6:16" ht="24.95" customHeight="1">
      <c r="F146" s="58" t="s">
        <v>126</v>
      </c>
      <c r="J146" s="58" t="s">
        <v>127</v>
      </c>
      <c r="K146" s="30"/>
      <c r="P146" s="30"/>
    </row>
    <row r="148" spans="6:16" ht="24.95" customHeight="1">
      <c r="F148" s="59" t="s">
        <v>129</v>
      </c>
      <c r="J148" s="59" t="s">
        <v>130</v>
      </c>
    </row>
    <row r="149" spans="6:16" ht="24.95" customHeight="1">
      <c r="F149" s="58" t="s">
        <v>132</v>
      </c>
      <c r="J149" s="58" t="s">
        <v>133</v>
      </c>
    </row>
  </sheetData>
  <autoFilter ref="B7:Q140"/>
  <mergeCells count="10">
    <mergeCell ref="Q5:Q6"/>
    <mergeCell ref="C11:E11"/>
    <mergeCell ref="B1:P1"/>
    <mergeCell ref="B2:P2"/>
    <mergeCell ref="B3:P3"/>
    <mergeCell ref="B4:P4"/>
    <mergeCell ref="B5:E6"/>
    <mergeCell ref="F5:H5"/>
    <mergeCell ref="J5:L5"/>
    <mergeCell ref="N5:P5"/>
  </mergeCells>
  <pageMargins left="1.25" right="0" top="0.36" bottom="0.3" header="0.27" footer="0.17"/>
  <pageSetup paperSize="5" scale="55" orientation="landscape" horizontalDpi="0" verticalDpi="0" r:id="rId1"/>
  <headerFooter>
    <oddFooter>&amp;R&amp;"-,Italic"&amp;8Page &amp;P of &amp;N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110"/>
  <sheetViews>
    <sheetView workbookViewId="0">
      <pane xSplit="1" ySplit="2" topLeftCell="B93" activePane="bottomRight" state="frozen"/>
      <selection pane="topRight" activeCell="C1" sqref="C1"/>
      <selection pane="bottomLeft" activeCell="A3" sqref="A3"/>
      <selection pane="bottomRight" activeCell="F108" sqref="F108"/>
    </sheetView>
  </sheetViews>
  <sheetFormatPr defaultRowHeight="15"/>
  <cols>
    <col min="1" max="1" width="43.28515625" style="111" customWidth="1"/>
    <col min="2" max="2" width="14.140625" style="90" customWidth="1"/>
    <col min="3" max="3" width="9.140625" customWidth="1"/>
    <col min="4" max="4" width="12.140625" style="112" customWidth="1"/>
    <col min="5" max="5" width="9.140625" customWidth="1"/>
    <col min="6" max="6" width="4.28515625" customWidth="1"/>
    <col min="7" max="7" width="8.7109375" style="89" customWidth="1"/>
    <col min="8" max="8" width="13.5703125" style="84" customWidth="1"/>
    <col min="9" max="9" width="14.85546875" style="85" customWidth="1"/>
    <col min="13" max="13" width="13.140625" customWidth="1"/>
    <col min="257" max="257" width="43.28515625" customWidth="1"/>
    <col min="258" max="258" width="14.140625" customWidth="1"/>
    <col min="259" max="259" width="9.140625" customWidth="1"/>
    <col min="260" max="260" width="12.140625" customWidth="1"/>
    <col min="261" max="261" width="9.140625" customWidth="1"/>
    <col min="262" max="262" width="4.28515625" customWidth="1"/>
    <col min="263" max="263" width="8.7109375" customWidth="1"/>
    <col min="264" max="264" width="13.5703125" customWidth="1"/>
    <col min="265" max="265" width="14.85546875" customWidth="1"/>
    <col min="269" max="269" width="13.140625" customWidth="1"/>
    <col min="513" max="513" width="43.28515625" customWidth="1"/>
    <col min="514" max="514" width="14.140625" customWidth="1"/>
    <col min="515" max="515" width="9.140625" customWidth="1"/>
    <col min="516" max="516" width="12.140625" customWidth="1"/>
    <col min="517" max="517" width="9.140625" customWidth="1"/>
    <col min="518" max="518" width="4.28515625" customWidth="1"/>
    <col min="519" max="519" width="8.7109375" customWidth="1"/>
    <col min="520" max="520" width="13.5703125" customWidth="1"/>
    <col min="521" max="521" width="14.85546875" customWidth="1"/>
    <col min="525" max="525" width="13.140625" customWidth="1"/>
    <col min="769" max="769" width="43.28515625" customWidth="1"/>
    <col min="770" max="770" width="14.140625" customWidth="1"/>
    <col min="771" max="771" width="9.140625" customWidth="1"/>
    <col min="772" max="772" width="12.140625" customWidth="1"/>
    <col min="773" max="773" width="9.140625" customWidth="1"/>
    <col min="774" max="774" width="4.28515625" customWidth="1"/>
    <col min="775" max="775" width="8.7109375" customWidth="1"/>
    <col min="776" max="776" width="13.5703125" customWidth="1"/>
    <col min="777" max="777" width="14.85546875" customWidth="1"/>
    <col min="781" max="781" width="13.140625" customWidth="1"/>
    <col min="1025" max="1025" width="43.28515625" customWidth="1"/>
    <col min="1026" max="1026" width="14.140625" customWidth="1"/>
    <col min="1027" max="1027" width="9.140625" customWidth="1"/>
    <col min="1028" max="1028" width="12.140625" customWidth="1"/>
    <col min="1029" max="1029" width="9.140625" customWidth="1"/>
    <col min="1030" max="1030" width="4.28515625" customWidth="1"/>
    <col min="1031" max="1031" width="8.7109375" customWidth="1"/>
    <col min="1032" max="1032" width="13.5703125" customWidth="1"/>
    <col min="1033" max="1033" width="14.85546875" customWidth="1"/>
    <col min="1037" max="1037" width="13.140625" customWidth="1"/>
    <col min="1281" max="1281" width="43.28515625" customWidth="1"/>
    <col min="1282" max="1282" width="14.140625" customWidth="1"/>
    <col min="1283" max="1283" width="9.140625" customWidth="1"/>
    <col min="1284" max="1284" width="12.140625" customWidth="1"/>
    <col min="1285" max="1285" width="9.140625" customWidth="1"/>
    <col min="1286" max="1286" width="4.28515625" customWidth="1"/>
    <col min="1287" max="1287" width="8.7109375" customWidth="1"/>
    <col min="1288" max="1288" width="13.5703125" customWidth="1"/>
    <col min="1289" max="1289" width="14.85546875" customWidth="1"/>
    <col min="1293" max="1293" width="13.140625" customWidth="1"/>
    <col min="1537" max="1537" width="43.28515625" customWidth="1"/>
    <col min="1538" max="1538" width="14.140625" customWidth="1"/>
    <col min="1539" max="1539" width="9.140625" customWidth="1"/>
    <col min="1540" max="1540" width="12.140625" customWidth="1"/>
    <col min="1541" max="1541" width="9.140625" customWidth="1"/>
    <col min="1542" max="1542" width="4.28515625" customWidth="1"/>
    <col min="1543" max="1543" width="8.7109375" customWidth="1"/>
    <col min="1544" max="1544" width="13.5703125" customWidth="1"/>
    <col min="1545" max="1545" width="14.85546875" customWidth="1"/>
    <col min="1549" max="1549" width="13.140625" customWidth="1"/>
    <col min="1793" max="1793" width="43.28515625" customWidth="1"/>
    <col min="1794" max="1794" width="14.140625" customWidth="1"/>
    <col min="1795" max="1795" width="9.140625" customWidth="1"/>
    <col min="1796" max="1796" width="12.140625" customWidth="1"/>
    <col min="1797" max="1797" width="9.140625" customWidth="1"/>
    <col min="1798" max="1798" width="4.28515625" customWidth="1"/>
    <col min="1799" max="1799" width="8.7109375" customWidth="1"/>
    <col min="1800" max="1800" width="13.5703125" customWidth="1"/>
    <col min="1801" max="1801" width="14.85546875" customWidth="1"/>
    <col min="1805" max="1805" width="13.140625" customWidth="1"/>
    <col min="2049" max="2049" width="43.28515625" customWidth="1"/>
    <col min="2050" max="2050" width="14.140625" customWidth="1"/>
    <col min="2051" max="2051" width="9.140625" customWidth="1"/>
    <col min="2052" max="2052" width="12.140625" customWidth="1"/>
    <col min="2053" max="2053" width="9.140625" customWidth="1"/>
    <col min="2054" max="2054" width="4.28515625" customWidth="1"/>
    <col min="2055" max="2055" width="8.7109375" customWidth="1"/>
    <col min="2056" max="2056" width="13.5703125" customWidth="1"/>
    <col min="2057" max="2057" width="14.85546875" customWidth="1"/>
    <col min="2061" max="2061" width="13.140625" customWidth="1"/>
    <col min="2305" max="2305" width="43.28515625" customWidth="1"/>
    <col min="2306" max="2306" width="14.140625" customWidth="1"/>
    <col min="2307" max="2307" width="9.140625" customWidth="1"/>
    <col min="2308" max="2308" width="12.140625" customWidth="1"/>
    <col min="2309" max="2309" width="9.140625" customWidth="1"/>
    <col min="2310" max="2310" width="4.28515625" customWidth="1"/>
    <col min="2311" max="2311" width="8.7109375" customWidth="1"/>
    <col min="2312" max="2312" width="13.5703125" customWidth="1"/>
    <col min="2313" max="2313" width="14.85546875" customWidth="1"/>
    <col min="2317" max="2317" width="13.140625" customWidth="1"/>
    <col min="2561" max="2561" width="43.28515625" customWidth="1"/>
    <col min="2562" max="2562" width="14.140625" customWidth="1"/>
    <col min="2563" max="2563" width="9.140625" customWidth="1"/>
    <col min="2564" max="2564" width="12.140625" customWidth="1"/>
    <col min="2565" max="2565" width="9.140625" customWidth="1"/>
    <col min="2566" max="2566" width="4.28515625" customWidth="1"/>
    <col min="2567" max="2567" width="8.7109375" customWidth="1"/>
    <col min="2568" max="2568" width="13.5703125" customWidth="1"/>
    <col min="2569" max="2569" width="14.85546875" customWidth="1"/>
    <col min="2573" max="2573" width="13.140625" customWidth="1"/>
    <col min="2817" max="2817" width="43.28515625" customWidth="1"/>
    <col min="2818" max="2818" width="14.140625" customWidth="1"/>
    <col min="2819" max="2819" width="9.140625" customWidth="1"/>
    <col min="2820" max="2820" width="12.140625" customWidth="1"/>
    <col min="2821" max="2821" width="9.140625" customWidth="1"/>
    <col min="2822" max="2822" width="4.28515625" customWidth="1"/>
    <col min="2823" max="2823" width="8.7109375" customWidth="1"/>
    <col min="2824" max="2824" width="13.5703125" customWidth="1"/>
    <col min="2825" max="2825" width="14.85546875" customWidth="1"/>
    <col min="2829" max="2829" width="13.140625" customWidth="1"/>
    <col min="3073" max="3073" width="43.28515625" customWidth="1"/>
    <col min="3074" max="3074" width="14.140625" customWidth="1"/>
    <col min="3075" max="3075" width="9.140625" customWidth="1"/>
    <col min="3076" max="3076" width="12.140625" customWidth="1"/>
    <col min="3077" max="3077" width="9.140625" customWidth="1"/>
    <col min="3078" max="3078" width="4.28515625" customWidth="1"/>
    <col min="3079" max="3079" width="8.7109375" customWidth="1"/>
    <col min="3080" max="3080" width="13.5703125" customWidth="1"/>
    <col min="3081" max="3081" width="14.85546875" customWidth="1"/>
    <col min="3085" max="3085" width="13.140625" customWidth="1"/>
    <col min="3329" max="3329" width="43.28515625" customWidth="1"/>
    <col min="3330" max="3330" width="14.140625" customWidth="1"/>
    <col min="3331" max="3331" width="9.140625" customWidth="1"/>
    <col min="3332" max="3332" width="12.140625" customWidth="1"/>
    <col min="3333" max="3333" width="9.140625" customWidth="1"/>
    <col min="3334" max="3334" width="4.28515625" customWidth="1"/>
    <col min="3335" max="3335" width="8.7109375" customWidth="1"/>
    <col min="3336" max="3336" width="13.5703125" customWidth="1"/>
    <col min="3337" max="3337" width="14.85546875" customWidth="1"/>
    <col min="3341" max="3341" width="13.140625" customWidth="1"/>
    <col min="3585" max="3585" width="43.28515625" customWidth="1"/>
    <col min="3586" max="3586" width="14.140625" customWidth="1"/>
    <col min="3587" max="3587" width="9.140625" customWidth="1"/>
    <col min="3588" max="3588" width="12.140625" customWidth="1"/>
    <col min="3589" max="3589" width="9.140625" customWidth="1"/>
    <col min="3590" max="3590" width="4.28515625" customWidth="1"/>
    <col min="3591" max="3591" width="8.7109375" customWidth="1"/>
    <col min="3592" max="3592" width="13.5703125" customWidth="1"/>
    <col min="3593" max="3593" width="14.85546875" customWidth="1"/>
    <col min="3597" max="3597" width="13.140625" customWidth="1"/>
    <col min="3841" max="3841" width="43.28515625" customWidth="1"/>
    <col min="3842" max="3842" width="14.140625" customWidth="1"/>
    <col min="3843" max="3843" width="9.140625" customWidth="1"/>
    <col min="3844" max="3844" width="12.140625" customWidth="1"/>
    <col min="3845" max="3845" width="9.140625" customWidth="1"/>
    <col min="3846" max="3846" width="4.28515625" customWidth="1"/>
    <col min="3847" max="3847" width="8.7109375" customWidth="1"/>
    <col min="3848" max="3848" width="13.5703125" customWidth="1"/>
    <col min="3849" max="3849" width="14.85546875" customWidth="1"/>
    <col min="3853" max="3853" width="13.140625" customWidth="1"/>
    <col min="4097" max="4097" width="43.28515625" customWidth="1"/>
    <col min="4098" max="4098" width="14.140625" customWidth="1"/>
    <col min="4099" max="4099" width="9.140625" customWidth="1"/>
    <col min="4100" max="4100" width="12.140625" customWidth="1"/>
    <col min="4101" max="4101" width="9.140625" customWidth="1"/>
    <col min="4102" max="4102" width="4.28515625" customWidth="1"/>
    <col min="4103" max="4103" width="8.7109375" customWidth="1"/>
    <col min="4104" max="4104" width="13.5703125" customWidth="1"/>
    <col min="4105" max="4105" width="14.85546875" customWidth="1"/>
    <col min="4109" max="4109" width="13.140625" customWidth="1"/>
    <col min="4353" max="4353" width="43.28515625" customWidth="1"/>
    <col min="4354" max="4354" width="14.140625" customWidth="1"/>
    <col min="4355" max="4355" width="9.140625" customWidth="1"/>
    <col min="4356" max="4356" width="12.140625" customWidth="1"/>
    <col min="4357" max="4357" width="9.140625" customWidth="1"/>
    <col min="4358" max="4358" width="4.28515625" customWidth="1"/>
    <col min="4359" max="4359" width="8.7109375" customWidth="1"/>
    <col min="4360" max="4360" width="13.5703125" customWidth="1"/>
    <col min="4361" max="4361" width="14.85546875" customWidth="1"/>
    <col min="4365" max="4365" width="13.140625" customWidth="1"/>
    <col min="4609" max="4609" width="43.28515625" customWidth="1"/>
    <col min="4610" max="4610" width="14.140625" customWidth="1"/>
    <col min="4611" max="4611" width="9.140625" customWidth="1"/>
    <col min="4612" max="4612" width="12.140625" customWidth="1"/>
    <col min="4613" max="4613" width="9.140625" customWidth="1"/>
    <col min="4614" max="4614" width="4.28515625" customWidth="1"/>
    <col min="4615" max="4615" width="8.7109375" customWidth="1"/>
    <col min="4616" max="4616" width="13.5703125" customWidth="1"/>
    <col min="4617" max="4617" width="14.85546875" customWidth="1"/>
    <col min="4621" max="4621" width="13.140625" customWidth="1"/>
    <col min="4865" max="4865" width="43.28515625" customWidth="1"/>
    <col min="4866" max="4866" width="14.140625" customWidth="1"/>
    <col min="4867" max="4867" width="9.140625" customWidth="1"/>
    <col min="4868" max="4868" width="12.140625" customWidth="1"/>
    <col min="4869" max="4869" width="9.140625" customWidth="1"/>
    <col min="4870" max="4870" width="4.28515625" customWidth="1"/>
    <col min="4871" max="4871" width="8.7109375" customWidth="1"/>
    <col min="4872" max="4872" width="13.5703125" customWidth="1"/>
    <col min="4873" max="4873" width="14.85546875" customWidth="1"/>
    <col min="4877" max="4877" width="13.140625" customWidth="1"/>
    <col min="5121" max="5121" width="43.28515625" customWidth="1"/>
    <col min="5122" max="5122" width="14.140625" customWidth="1"/>
    <col min="5123" max="5123" width="9.140625" customWidth="1"/>
    <col min="5124" max="5124" width="12.140625" customWidth="1"/>
    <col min="5125" max="5125" width="9.140625" customWidth="1"/>
    <col min="5126" max="5126" width="4.28515625" customWidth="1"/>
    <col min="5127" max="5127" width="8.7109375" customWidth="1"/>
    <col min="5128" max="5128" width="13.5703125" customWidth="1"/>
    <col min="5129" max="5129" width="14.85546875" customWidth="1"/>
    <col min="5133" max="5133" width="13.140625" customWidth="1"/>
    <col min="5377" max="5377" width="43.28515625" customWidth="1"/>
    <col min="5378" max="5378" width="14.140625" customWidth="1"/>
    <col min="5379" max="5379" width="9.140625" customWidth="1"/>
    <col min="5380" max="5380" width="12.140625" customWidth="1"/>
    <col min="5381" max="5381" width="9.140625" customWidth="1"/>
    <col min="5382" max="5382" width="4.28515625" customWidth="1"/>
    <col min="5383" max="5383" width="8.7109375" customWidth="1"/>
    <col min="5384" max="5384" width="13.5703125" customWidth="1"/>
    <col min="5385" max="5385" width="14.85546875" customWidth="1"/>
    <col min="5389" max="5389" width="13.140625" customWidth="1"/>
    <col min="5633" max="5633" width="43.28515625" customWidth="1"/>
    <col min="5634" max="5634" width="14.140625" customWidth="1"/>
    <col min="5635" max="5635" width="9.140625" customWidth="1"/>
    <col min="5636" max="5636" width="12.140625" customWidth="1"/>
    <col min="5637" max="5637" width="9.140625" customWidth="1"/>
    <col min="5638" max="5638" width="4.28515625" customWidth="1"/>
    <col min="5639" max="5639" width="8.7109375" customWidth="1"/>
    <col min="5640" max="5640" width="13.5703125" customWidth="1"/>
    <col min="5641" max="5641" width="14.85546875" customWidth="1"/>
    <col min="5645" max="5645" width="13.140625" customWidth="1"/>
    <col min="5889" max="5889" width="43.28515625" customWidth="1"/>
    <col min="5890" max="5890" width="14.140625" customWidth="1"/>
    <col min="5891" max="5891" width="9.140625" customWidth="1"/>
    <col min="5892" max="5892" width="12.140625" customWidth="1"/>
    <col min="5893" max="5893" width="9.140625" customWidth="1"/>
    <col min="5894" max="5894" width="4.28515625" customWidth="1"/>
    <col min="5895" max="5895" width="8.7109375" customWidth="1"/>
    <col min="5896" max="5896" width="13.5703125" customWidth="1"/>
    <col min="5897" max="5897" width="14.85546875" customWidth="1"/>
    <col min="5901" max="5901" width="13.140625" customWidth="1"/>
    <col min="6145" max="6145" width="43.28515625" customWidth="1"/>
    <col min="6146" max="6146" width="14.140625" customWidth="1"/>
    <col min="6147" max="6147" width="9.140625" customWidth="1"/>
    <col min="6148" max="6148" width="12.140625" customWidth="1"/>
    <col min="6149" max="6149" width="9.140625" customWidth="1"/>
    <col min="6150" max="6150" width="4.28515625" customWidth="1"/>
    <col min="6151" max="6151" width="8.7109375" customWidth="1"/>
    <col min="6152" max="6152" width="13.5703125" customWidth="1"/>
    <col min="6153" max="6153" width="14.85546875" customWidth="1"/>
    <col min="6157" max="6157" width="13.140625" customWidth="1"/>
    <col min="6401" max="6401" width="43.28515625" customWidth="1"/>
    <col min="6402" max="6402" width="14.140625" customWidth="1"/>
    <col min="6403" max="6403" width="9.140625" customWidth="1"/>
    <col min="6404" max="6404" width="12.140625" customWidth="1"/>
    <col min="6405" max="6405" width="9.140625" customWidth="1"/>
    <col min="6406" max="6406" width="4.28515625" customWidth="1"/>
    <col min="6407" max="6407" width="8.7109375" customWidth="1"/>
    <col min="6408" max="6408" width="13.5703125" customWidth="1"/>
    <col min="6409" max="6409" width="14.85546875" customWidth="1"/>
    <col min="6413" max="6413" width="13.140625" customWidth="1"/>
    <col min="6657" max="6657" width="43.28515625" customWidth="1"/>
    <col min="6658" max="6658" width="14.140625" customWidth="1"/>
    <col min="6659" max="6659" width="9.140625" customWidth="1"/>
    <col min="6660" max="6660" width="12.140625" customWidth="1"/>
    <col min="6661" max="6661" width="9.140625" customWidth="1"/>
    <col min="6662" max="6662" width="4.28515625" customWidth="1"/>
    <col min="6663" max="6663" width="8.7109375" customWidth="1"/>
    <col min="6664" max="6664" width="13.5703125" customWidth="1"/>
    <col min="6665" max="6665" width="14.85546875" customWidth="1"/>
    <col min="6669" max="6669" width="13.140625" customWidth="1"/>
    <col min="6913" max="6913" width="43.28515625" customWidth="1"/>
    <col min="6914" max="6914" width="14.140625" customWidth="1"/>
    <col min="6915" max="6915" width="9.140625" customWidth="1"/>
    <col min="6916" max="6916" width="12.140625" customWidth="1"/>
    <col min="6917" max="6917" width="9.140625" customWidth="1"/>
    <col min="6918" max="6918" width="4.28515625" customWidth="1"/>
    <col min="6919" max="6919" width="8.7109375" customWidth="1"/>
    <col min="6920" max="6920" width="13.5703125" customWidth="1"/>
    <col min="6921" max="6921" width="14.85546875" customWidth="1"/>
    <col min="6925" max="6925" width="13.140625" customWidth="1"/>
    <col min="7169" max="7169" width="43.28515625" customWidth="1"/>
    <col min="7170" max="7170" width="14.140625" customWidth="1"/>
    <col min="7171" max="7171" width="9.140625" customWidth="1"/>
    <col min="7172" max="7172" width="12.140625" customWidth="1"/>
    <col min="7173" max="7173" width="9.140625" customWidth="1"/>
    <col min="7174" max="7174" width="4.28515625" customWidth="1"/>
    <col min="7175" max="7175" width="8.7109375" customWidth="1"/>
    <col min="7176" max="7176" width="13.5703125" customWidth="1"/>
    <col min="7177" max="7177" width="14.85546875" customWidth="1"/>
    <col min="7181" max="7181" width="13.140625" customWidth="1"/>
    <col min="7425" max="7425" width="43.28515625" customWidth="1"/>
    <col min="7426" max="7426" width="14.140625" customWidth="1"/>
    <col min="7427" max="7427" width="9.140625" customWidth="1"/>
    <col min="7428" max="7428" width="12.140625" customWidth="1"/>
    <col min="7429" max="7429" width="9.140625" customWidth="1"/>
    <col min="7430" max="7430" width="4.28515625" customWidth="1"/>
    <col min="7431" max="7431" width="8.7109375" customWidth="1"/>
    <col min="7432" max="7432" width="13.5703125" customWidth="1"/>
    <col min="7433" max="7433" width="14.85546875" customWidth="1"/>
    <col min="7437" max="7437" width="13.140625" customWidth="1"/>
    <col min="7681" max="7681" width="43.28515625" customWidth="1"/>
    <col min="7682" max="7682" width="14.140625" customWidth="1"/>
    <col min="7683" max="7683" width="9.140625" customWidth="1"/>
    <col min="7684" max="7684" width="12.140625" customWidth="1"/>
    <col min="7685" max="7685" width="9.140625" customWidth="1"/>
    <col min="7686" max="7686" width="4.28515625" customWidth="1"/>
    <col min="7687" max="7687" width="8.7109375" customWidth="1"/>
    <col min="7688" max="7688" width="13.5703125" customWidth="1"/>
    <col min="7689" max="7689" width="14.85546875" customWidth="1"/>
    <col min="7693" max="7693" width="13.140625" customWidth="1"/>
    <col min="7937" max="7937" width="43.28515625" customWidth="1"/>
    <col min="7938" max="7938" width="14.140625" customWidth="1"/>
    <col min="7939" max="7939" width="9.140625" customWidth="1"/>
    <col min="7940" max="7940" width="12.140625" customWidth="1"/>
    <col min="7941" max="7941" width="9.140625" customWidth="1"/>
    <col min="7942" max="7942" width="4.28515625" customWidth="1"/>
    <col min="7943" max="7943" width="8.7109375" customWidth="1"/>
    <col min="7944" max="7944" width="13.5703125" customWidth="1"/>
    <col min="7945" max="7945" width="14.85546875" customWidth="1"/>
    <col min="7949" max="7949" width="13.140625" customWidth="1"/>
    <col min="8193" max="8193" width="43.28515625" customWidth="1"/>
    <col min="8194" max="8194" width="14.140625" customWidth="1"/>
    <col min="8195" max="8195" width="9.140625" customWidth="1"/>
    <col min="8196" max="8196" width="12.140625" customWidth="1"/>
    <col min="8197" max="8197" width="9.140625" customWidth="1"/>
    <col min="8198" max="8198" width="4.28515625" customWidth="1"/>
    <col min="8199" max="8199" width="8.7109375" customWidth="1"/>
    <col min="8200" max="8200" width="13.5703125" customWidth="1"/>
    <col min="8201" max="8201" width="14.85546875" customWidth="1"/>
    <col min="8205" max="8205" width="13.140625" customWidth="1"/>
    <col min="8449" max="8449" width="43.28515625" customWidth="1"/>
    <col min="8450" max="8450" width="14.140625" customWidth="1"/>
    <col min="8451" max="8451" width="9.140625" customWidth="1"/>
    <col min="8452" max="8452" width="12.140625" customWidth="1"/>
    <col min="8453" max="8453" width="9.140625" customWidth="1"/>
    <col min="8454" max="8454" width="4.28515625" customWidth="1"/>
    <col min="8455" max="8455" width="8.7109375" customWidth="1"/>
    <col min="8456" max="8456" width="13.5703125" customWidth="1"/>
    <col min="8457" max="8457" width="14.85546875" customWidth="1"/>
    <col min="8461" max="8461" width="13.140625" customWidth="1"/>
    <col min="8705" max="8705" width="43.28515625" customWidth="1"/>
    <col min="8706" max="8706" width="14.140625" customWidth="1"/>
    <col min="8707" max="8707" width="9.140625" customWidth="1"/>
    <col min="8708" max="8708" width="12.140625" customWidth="1"/>
    <col min="8709" max="8709" width="9.140625" customWidth="1"/>
    <col min="8710" max="8710" width="4.28515625" customWidth="1"/>
    <col min="8711" max="8711" width="8.7109375" customWidth="1"/>
    <col min="8712" max="8712" width="13.5703125" customWidth="1"/>
    <col min="8713" max="8713" width="14.85546875" customWidth="1"/>
    <col min="8717" max="8717" width="13.140625" customWidth="1"/>
    <col min="8961" max="8961" width="43.28515625" customWidth="1"/>
    <col min="8962" max="8962" width="14.140625" customWidth="1"/>
    <col min="8963" max="8963" width="9.140625" customWidth="1"/>
    <col min="8964" max="8964" width="12.140625" customWidth="1"/>
    <col min="8965" max="8965" width="9.140625" customWidth="1"/>
    <col min="8966" max="8966" width="4.28515625" customWidth="1"/>
    <col min="8967" max="8967" width="8.7109375" customWidth="1"/>
    <col min="8968" max="8968" width="13.5703125" customWidth="1"/>
    <col min="8969" max="8969" width="14.85546875" customWidth="1"/>
    <col min="8973" max="8973" width="13.140625" customWidth="1"/>
    <col min="9217" max="9217" width="43.28515625" customWidth="1"/>
    <col min="9218" max="9218" width="14.140625" customWidth="1"/>
    <col min="9219" max="9219" width="9.140625" customWidth="1"/>
    <col min="9220" max="9220" width="12.140625" customWidth="1"/>
    <col min="9221" max="9221" width="9.140625" customWidth="1"/>
    <col min="9222" max="9222" width="4.28515625" customWidth="1"/>
    <col min="9223" max="9223" width="8.7109375" customWidth="1"/>
    <col min="9224" max="9224" width="13.5703125" customWidth="1"/>
    <col min="9225" max="9225" width="14.85546875" customWidth="1"/>
    <col min="9229" max="9229" width="13.140625" customWidth="1"/>
    <col min="9473" max="9473" width="43.28515625" customWidth="1"/>
    <col min="9474" max="9474" width="14.140625" customWidth="1"/>
    <col min="9475" max="9475" width="9.140625" customWidth="1"/>
    <col min="9476" max="9476" width="12.140625" customWidth="1"/>
    <col min="9477" max="9477" width="9.140625" customWidth="1"/>
    <col min="9478" max="9478" width="4.28515625" customWidth="1"/>
    <col min="9479" max="9479" width="8.7109375" customWidth="1"/>
    <col min="9480" max="9480" width="13.5703125" customWidth="1"/>
    <col min="9481" max="9481" width="14.85546875" customWidth="1"/>
    <col min="9485" max="9485" width="13.140625" customWidth="1"/>
    <col min="9729" max="9729" width="43.28515625" customWidth="1"/>
    <col min="9730" max="9730" width="14.140625" customWidth="1"/>
    <col min="9731" max="9731" width="9.140625" customWidth="1"/>
    <col min="9732" max="9732" width="12.140625" customWidth="1"/>
    <col min="9733" max="9733" width="9.140625" customWidth="1"/>
    <col min="9734" max="9734" width="4.28515625" customWidth="1"/>
    <col min="9735" max="9735" width="8.7109375" customWidth="1"/>
    <col min="9736" max="9736" width="13.5703125" customWidth="1"/>
    <col min="9737" max="9737" width="14.85546875" customWidth="1"/>
    <col min="9741" max="9741" width="13.140625" customWidth="1"/>
    <col min="9985" max="9985" width="43.28515625" customWidth="1"/>
    <col min="9986" max="9986" width="14.140625" customWidth="1"/>
    <col min="9987" max="9987" width="9.140625" customWidth="1"/>
    <col min="9988" max="9988" width="12.140625" customWidth="1"/>
    <col min="9989" max="9989" width="9.140625" customWidth="1"/>
    <col min="9990" max="9990" width="4.28515625" customWidth="1"/>
    <col min="9991" max="9991" width="8.7109375" customWidth="1"/>
    <col min="9992" max="9992" width="13.5703125" customWidth="1"/>
    <col min="9993" max="9993" width="14.85546875" customWidth="1"/>
    <col min="9997" max="9997" width="13.140625" customWidth="1"/>
    <col min="10241" max="10241" width="43.28515625" customWidth="1"/>
    <col min="10242" max="10242" width="14.140625" customWidth="1"/>
    <col min="10243" max="10243" width="9.140625" customWidth="1"/>
    <col min="10244" max="10244" width="12.140625" customWidth="1"/>
    <col min="10245" max="10245" width="9.140625" customWidth="1"/>
    <col min="10246" max="10246" width="4.28515625" customWidth="1"/>
    <col min="10247" max="10247" width="8.7109375" customWidth="1"/>
    <col min="10248" max="10248" width="13.5703125" customWidth="1"/>
    <col min="10249" max="10249" width="14.85546875" customWidth="1"/>
    <col min="10253" max="10253" width="13.140625" customWidth="1"/>
    <col min="10497" max="10497" width="43.28515625" customWidth="1"/>
    <col min="10498" max="10498" width="14.140625" customWidth="1"/>
    <col min="10499" max="10499" width="9.140625" customWidth="1"/>
    <col min="10500" max="10500" width="12.140625" customWidth="1"/>
    <col min="10501" max="10501" width="9.140625" customWidth="1"/>
    <col min="10502" max="10502" width="4.28515625" customWidth="1"/>
    <col min="10503" max="10503" width="8.7109375" customWidth="1"/>
    <col min="10504" max="10504" width="13.5703125" customWidth="1"/>
    <col min="10505" max="10505" width="14.85546875" customWidth="1"/>
    <col min="10509" max="10509" width="13.140625" customWidth="1"/>
    <col min="10753" max="10753" width="43.28515625" customWidth="1"/>
    <col min="10754" max="10754" width="14.140625" customWidth="1"/>
    <col min="10755" max="10755" width="9.140625" customWidth="1"/>
    <col min="10756" max="10756" width="12.140625" customWidth="1"/>
    <col min="10757" max="10757" width="9.140625" customWidth="1"/>
    <col min="10758" max="10758" width="4.28515625" customWidth="1"/>
    <col min="10759" max="10759" width="8.7109375" customWidth="1"/>
    <col min="10760" max="10760" width="13.5703125" customWidth="1"/>
    <col min="10761" max="10761" width="14.85546875" customWidth="1"/>
    <col min="10765" max="10765" width="13.140625" customWidth="1"/>
    <col min="11009" max="11009" width="43.28515625" customWidth="1"/>
    <col min="11010" max="11010" width="14.140625" customWidth="1"/>
    <col min="11011" max="11011" width="9.140625" customWidth="1"/>
    <col min="11012" max="11012" width="12.140625" customWidth="1"/>
    <col min="11013" max="11013" width="9.140625" customWidth="1"/>
    <col min="11014" max="11014" width="4.28515625" customWidth="1"/>
    <col min="11015" max="11015" width="8.7109375" customWidth="1"/>
    <col min="11016" max="11016" width="13.5703125" customWidth="1"/>
    <col min="11017" max="11017" width="14.85546875" customWidth="1"/>
    <col min="11021" max="11021" width="13.140625" customWidth="1"/>
    <col min="11265" max="11265" width="43.28515625" customWidth="1"/>
    <col min="11266" max="11266" width="14.140625" customWidth="1"/>
    <col min="11267" max="11267" width="9.140625" customWidth="1"/>
    <col min="11268" max="11268" width="12.140625" customWidth="1"/>
    <col min="11269" max="11269" width="9.140625" customWidth="1"/>
    <col min="11270" max="11270" width="4.28515625" customWidth="1"/>
    <col min="11271" max="11271" width="8.7109375" customWidth="1"/>
    <col min="11272" max="11272" width="13.5703125" customWidth="1"/>
    <col min="11273" max="11273" width="14.85546875" customWidth="1"/>
    <col min="11277" max="11277" width="13.140625" customWidth="1"/>
    <col min="11521" max="11521" width="43.28515625" customWidth="1"/>
    <col min="11522" max="11522" width="14.140625" customWidth="1"/>
    <col min="11523" max="11523" width="9.140625" customWidth="1"/>
    <col min="11524" max="11524" width="12.140625" customWidth="1"/>
    <col min="11525" max="11525" width="9.140625" customWidth="1"/>
    <col min="11526" max="11526" width="4.28515625" customWidth="1"/>
    <col min="11527" max="11527" width="8.7109375" customWidth="1"/>
    <col min="11528" max="11528" width="13.5703125" customWidth="1"/>
    <col min="11529" max="11529" width="14.85546875" customWidth="1"/>
    <col min="11533" max="11533" width="13.140625" customWidth="1"/>
    <col min="11777" max="11777" width="43.28515625" customWidth="1"/>
    <col min="11778" max="11778" width="14.140625" customWidth="1"/>
    <col min="11779" max="11779" width="9.140625" customWidth="1"/>
    <col min="11780" max="11780" width="12.140625" customWidth="1"/>
    <col min="11781" max="11781" width="9.140625" customWidth="1"/>
    <col min="11782" max="11782" width="4.28515625" customWidth="1"/>
    <col min="11783" max="11783" width="8.7109375" customWidth="1"/>
    <col min="11784" max="11784" width="13.5703125" customWidth="1"/>
    <col min="11785" max="11785" width="14.85546875" customWidth="1"/>
    <col min="11789" max="11789" width="13.140625" customWidth="1"/>
    <col min="12033" max="12033" width="43.28515625" customWidth="1"/>
    <col min="12034" max="12034" width="14.140625" customWidth="1"/>
    <col min="12035" max="12035" width="9.140625" customWidth="1"/>
    <col min="12036" max="12036" width="12.140625" customWidth="1"/>
    <col min="12037" max="12037" width="9.140625" customWidth="1"/>
    <col min="12038" max="12038" width="4.28515625" customWidth="1"/>
    <col min="12039" max="12039" width="8.7109375" customWidth="1"/>
    <col min="12040" max="12040" width="13.5703125" customWidth="1"/>
    <col min="12041" max="12041" width="14.85546875" customWidth="1"/>
    <col min="12045" max="12045" width="13.140625" customWidth="1"/>
    <col min="12289" max="12289" width="43.28515625" customWidth="1"/>
    <col min="12290" max="12290" width="14.140625" customWidth="1"/>
    <col min="12291" max="12291" width="9.140625" customWidth="1"/>
    <col min="12292" max="12292" width="12.140625" customWidth="1"/>
    <col min="12293" max="12293" width="9.140625" customWidth="1"/>
    <col min="12294" max="12294" width="4.28515625" customWidth="1"/>
    <col min="12295" max="12295" width="8.7109375" customWidth="1"/>
    <col min="12296" max="12296" width="13.5703125" customWidth="1"/>
    <col min="12297" max="12297" width="14.85546875" customWidth="1"/>
    <col min="12301" max="12301" width="13.140625" customWidth="1"/>
    <col min="12545" max="12545" width="43.28515625" customWidth="1"/>
    <col min="12546" max="12546" width="14.140625" customWidth="1"/>
    <col min="12547" max="12547" width="9.140625" customWidth="1"/>
    <col min="12548" max="12548" width="12.140625" customWidth="1"/>
    <col min="12549" max="12549" width="9.140625" customWidth="1"/>
    <col min="12550" max="12550" width="4.28515625" customWidth="1"/>
    <col min="12551" max="12551" width="8.7109375" customWidth="1"/>
    <col min="12552" max="12552" width="13.5703125" customWidth="1"/>
    <col min="12553" max="12553" width="14.85546875" customWidth="1"/>
    <col min="12557" max="12557" width="13.140625" customWidth="1"/>
    <col min="12801" max="12801" width="43.28515625" customWidth="1"/>
    <col min="12802" max="12802" width="14.140625" customWidth="1"/>
    <col min="12803" max="12803" width="9.140625" customWidth="1"/>
    <col min="12804" max="12804" width="12.140625" customWidth="1"/>
    <col min="12805" max="12805" width="9.140625" customWidth="1"/>
    <col min="12806" max="12806" width="4.28515625" customWidth="1"/>
    <col min="12807" max="12807" width="8.7109375" customWidth="1"/>
    <col min="12808" max="12808" width="13.5703125" customWidth="1"/>
    <col min="12809" max="12809" width="14.85546875" customWidth="1"/>
    <col min="12813" max="12813" width="13.140625" customWidth="1"/>
    <col min="13057" max="13057" width="43.28515625" customWidth="1"/>
    <col min="13058" max="13058" width="14.140625" customWidth="1"/>
    <col min="13059" max="13059" width="9.140625" customWidth="1"/>
    <col min="13060" max="13060" width="12.140625" customWidth="1"/>
    <col min="13061" max="13061" width="9.140625" customWidth="1"/>
    <col min="13062" max="13062" width="4.28515625" customWidth="1"/>
    <col min="13063" max="13063" width="8.7109375" customWidth="1"/>
    <col min="13064" max="13064" width="13.5703125" customWidth="1"/>
    <col min="13065" max="13065" width="14.85546875" customWidth="1"/>
    <col min="13069" max="13069" width="13.140625" customWidth="1"/>
    <col min="13313" max="13313" width="43.28515625" customWidth="1"/>
    <col min="13314" max="13314" width="14.140625" customWidth="1"/>
    <col min="13315" max="13315" width="9.140625" customWidth="1"/>
    <col min="13316" max="13316" width="12.140625" customWidth="1"/>
    <col min="13317" max="13317" width="9.140625" customWidth="1"/>
    <col min="13318" max="13318" width="4.28515625" customWidth="1"/>
    <col min="13319" max="13319" width="8.7109375" customWidth="1"/>
    <col min="13320" max="13320" width="13.5703125" customWidth="1"/>
    <col min="13321" max="13321" width="14.85546875" customWidth="1"/>
    <col min="13325" max="13325" width="13.140625" customWidth="1"/>
    <col min="13569" max="13569" width="43.28515625" customWidth="1"/>
    <col min="13570" max="13570" width="14.140625" customWidth="1"/>
    <col min="13571" max="13571" width="9.140625" customWidth="1"/>
    <col min="13572" max="13572" width="12.140625" customWidth="1"/>
    <col min="13573" max="13573" width="9.140625" customWidth="1"/>
    <col min="13574" max="13574" width="4.28515625" customWidth="1"/>
    <col min="13575" max="13575" width="8.7109375" customWidth="1"/>
    <col min="13576" max="13576" width="13.5703125" customWidth="1"/>
    <col min="13577" max="13577" width="14.85546875" customWidth="1"/>
    <col min="13581" max="13581" width="13.140625" customWidth="1"/>
    <col min="13825" max="13825" width="43.28515625" customWidth="1"/>
    <col min="13826" max="13826" width="14.140625" customWidth="1"/>
    <col min="13827" max="13827" width="9.140625" customWidth="1"/>
    <col min="13828" max="13828" width="12.140625" customWidth="1"/>
    <col min="13829" max="13829" width="9.140625" customWidth="1"/>
    <col min="13830" max="13830" width="4.28515625" customWidth="1"/>
    <col min="13831" max="13831" width="8.7109375" customWidth="1"/>
    <col min="13832" max="13832" width="13.5703125" customWidth="1"/>
    <col min="13833" max="13833" width="14.85546875" customWidth="1"/>
    <col min="13837" max="13837" width="13.140625" customWidth="1"/>
    <col min="14081" max="14081" width="43.28515625" customWidth="1"/>
    <col min="14082" max="14082" width="14.140625" customWidth="1"/>
    <col min="14083" max="14083" width="9.140625" customWidth="1"/>
    <col min="14084" max="14084" width="12.140625" customWidth="1"/>
    <col min="14085" max="14085" width="9.140625" customWidth="1"/>
    <col min="14086" max="14086" width="4.28515625" customWidth="1"/>
    <col min="14087" max="14087" width="8.7109375" customWidth="1"/>
    <col min="14088" max="14088" width="13.5703125" customWidth="1"/>
    <col min="14089" max="14089" width="14.85546875" customWidth="1"/>
    <col min="14093" max="14093" width="13.140625" customWidth="1"/>
    <col min="14337" max="14337" width="43.28515625" customWidth="1"/>
    <col min="14338" max="14338" width="14.140625" customWidth="1"/>
    <col min="14339" max="14339" width="9.140625" customWidth="1"/>
    <col min="14340" max="14340" width="12.140625" customWidth="1"/>
    <col min="14341" max="14341" width="9.140625" customWidth="1"/>
    <col min="14342" max="14342" width="4.28515625" customWidth="1"/>
    <col min="14343" max="14343" width="8.7109375" customWidth="1"/>
    <col min="14344" max="14344" width="13.5703125" customWidth="1"/>
    <col min="14345" max="14345" width="14.85546875" customWidth="1"/>
    <col min="14349" max="14349" width="13.140625" customWidth="1"/>
    <col min="14593" max="14593" width="43.28515625" customWidth="1"/>
    <col min="14594" max="14594" width="14.140625" customWidth="1"/>
    <col min="14595" max="14595" width="9.140625" customWidth="1"/>
    <col min="14596" max="14596" width="12.140625" customWidth="1"/>
    <col min="14597" max="14597" width="9.140625" customWidth="1"/>
    <col min="14598" max="14598" width="4.28515625" customWidth="1"/>
    <col min="14599" max="14599" width="8.7109375" customWidth="1"/>
    <col min="14600" max="14600" width="13.5703125" customWidth="1"/>
    <col min="14601" max="14601" width="14.85546875" customWidth="1"/>
    <col min="14605" max="14605" width="13.140625" customWidth="1"/>
    <col min="14849" max="14849" width="43.28515625" customWidth="1"/>
    <col min="14850" max="14850" width="14.140625" customWidth="1"/>
    <col min="14851" max="14851" width="9.140625" customWidth="1"/>
    <col min="14852" max="14852" width="12.140625" customWidth="1"/>
    <col min="14853" max="14853" width="9.140625" customWidth="1"/>
    <col min="14854" max="14854" width="4.28515625" customWidth="1"/>
    <col min="14855" max="14855" width="8.7109375" customWidth="1"/>
    <col min="14856" max="14856" width="13.5703125" customWidth="1"/>
    <col min="14857" max="14857" width="14.85546875" customWidth="1"/>
    <col min="14861" max="14861" width="13.140625" customWidth="1"/>
    <col min="15105" max="15105" width="43.28515625" customWidth="1"/>
    <col min="15106" max="15106" width="14.140625" customWidth="1"/>
    <col min="15107" max="15107" width="9.140625" customWidth="1"/>
    <col min="15108" max="15108" width="12.140625" customWidth="1"/>
    <col min="15109" max="15109" width="9.140625" customWidth="1"/>
    <col min="15110" max="15110" width="4.28515625" customWidth="1"/>
    <col min="15111" max="15111" width="8.7109375" customWidth="1"/>
    <col min="15112" max="15112" width="13.5703125" customWidth="1"/>
    <col min="15113" max="15113" width="14.85546875" customWidth="1"/>
    <col min="15117" max="15117" width="13.140625" customWidth="1"/>
    <col min="15361" max="15361" width="43.28515625" customWidth="1"/>
    <col min="15362" max="15362" width="14.140625" customWidth="1"/>
    <col min="15363" max="15363" width="9.140625" customWidth="1"/>
    <col min="15364" max="15364" width="12.140625" customWidth="1"/>
    <col min="15365" max="15365" width="9.140625" customWidth="1"/>
    <col min="15366" max="15366" width="4.28515625" customWidth="1"/>
    <col min="15367" max="15367" width="8.7109375" customWidth="1"/>
    <col min="15368" max="15368" width="13.5703125" customWidth="1"/>
    <col min="15369" max="15369" width="14.85546875" customWidth="1"/>
    <col min="15373" max="15373" width="13.140625" customWidth="1"/>
    <col min="15617" max="15617" width="43.28515625" customWidth="1"/>
    <col min="15618" max="15618" width="14.140625" customWidth="1"/>
    <col min="15619" max="15619" width="9.140625" customWidth="1"/>
    <col min="15620" max="15620" width="12.140625" customWidth="1"/>
    <col min="15621" max="15621" width="9.140625" customWidth="1"/>
    <col min="15622" max="15622" width="4.28515625" customWidth="1"/>
    <col min="15623" max="15623" width="8.7109375" customWidth="1"/>
    <col min="15624" max="15624" width="13.5703125" customWidth="1"/>
    <col min="15625" max="15625" width="14.85546875" customWidth="1"/>
    <col min="15629" max="15629" width="13.140625" customWidth="1"/>
    <col min="15873" max="15873" width="43.28515625" customWidth="1"/>
    <col min="15874" max="15874" width="14.140625" customWidth="1"/>
    <col min="15875" max="15875" width="9.140625" customWidth="1"/>
    <col min="15876" max="15876" width="12.140625" customWidth="1"/>
    <col min="15877" max="15877" width="9.140625" customWidth="1"/>
    <col min="15878" max="15878" width="4.28515625" customWidth="1"/>
    <col min="15879" max="15879" width="8.7109375" customWidth="1"/>
    <col min="15880" max="15880" width="13.5703125" customWidth="1"/>
    <col min="15881" max="15881" width="14.85546875" customWidth="1"/>
    <col min="15885" max="15885" width="13.140625" customWidth="1"/>
    <col min="16129" max="16129" width="43.28515625" customWidth="1"/>
    <col min="16130" max="16130" width="14.140625" customWidth="1"/>
    <col min="16131" max="16131" width="9.140625" customWidth="1"/>
    <col min="16132" max="16132" width="12.140625" customWidth="1"/>
    <col min="16133" max="16133" width="9.140625" customWidth="1"/>
    <col min="16134" max="16134" width="4.28515625" customWidth="1"/>
    <col min="16135" max="16135" width="8.7109375" customWidth="1"/>
    <col min="16136" max="16136" width="13.5703125" customWidth="1"/>
    <col min="16137" max="16137" width="14.85546875" customWidth="1"/>
    <col min="16141" max="16141" width="13.140625" customWidth="1"/>
  </cols>
  <sheetData>
    <row r="1" spans="1:9" s="76" customFormat="1" ht="18" customHeight="1">
      <c r="A1" s="74" t="s">
        <v>303</v>
      </c>
      <c r="B1" s="75"/>
      <c r="D1" s="77"/>
      <c r="G1" s="78"/>
      <c r="H1" s="79"/>
      <c r="I1" s="80"/>
    </row>
    <row r="2" spans="1:9" ht="48" customHeight="1">
      <c r="A2" s="81" t="s">
        <v>198</v>
      </c>
      <c r="B2" s="82" t="s">
        <v>304</v>
      </c>
      <c r="C2" s="82" t="s">
        <v>199</v>
      </c>
      <c r="D2" s="83" t="s">
        <v>200</v>
      </c>
      <c r="E2" s="83" t="s">
        <v>201</v>
      </c>
      <c r="G2" s="78"/>
    </row>
    <row r="3" spans="1:9" ht="15" customHeight="1">
      <c r="A3" s="86" t="s">
        <v>202</v>
      </c>
      <c r="B3" s="87">
        <v>1</v>
      </c>
      <c r="C3" s="96">
        <v>42013</v>
      </c>
      <c r="D3" s="87"/>
      <c r="E3" s="87">
        <v>1</v>
      </c>
    </row>
    <row r="4" spans="1:9" ht="15" customHeight="1">
      <c r="A4" s="86" t="s">
        <v>203</v>
      </c>
      <c r="B4" s="87">
        <v>1</v>
      </c>
      <c r="C4" s="88">
        <v>42031</v>
      </c>
      <c r="D4" s="87"/>
      <c r="E4" s="114">
        <v>1</v>
      </c>
    </row>
    <row r="5" spans="1:9" ht="15" customHeight="1">
      <c r="A5" s="86" t="s">
        <v>204</v>
      </c>
      <c r="B5" s="87">
        <v>1</v>
      </c>
      <c r="C5" s="96">
        <v>42013</v>
      </c>
      <c r="D5" s="87"/>
      <c r="E5" s="87">
        <v>1</v>
      </c>
    </row>
    <row r="6" spans="1:9" ht="15" customHeight="1">
      <c r="A6" s="86" t="s">
        <v>205</v>
      </c>
      <c r="B6" s="87">
        <v>1</v>
      </c>
      <c r="C6" s="96">
        <v>42017</v>
      </c>
      <c r="D6" s="87"/>
      <c r="E6" s="87">
        <v>1</v>
      </c>
      <c r="G6" s="90"/>
    </row>
    <row r="7" spans="1:9" s="91" customFormat="1" ht="15" customHeight="1">
      <c r="A7" s="86" t="s">
        <v>206</v>
      </c>
      <c r="B7" s="87">
        <v>1</v>
      </c>
      <c r="C7" s="88">
        <v>42020</v>
      </c>
      <c r="D7" s="87"/>
      <c r="E7" s="114">
        <v>1</v>
      </c>
      <c r="G7" s="90"/>
      <c r="H7" s="92"/>
      <c r="I7" s="93"/>
    </row>
    <row r="8" spans="1:9" ht="15" customHeight="1">
      <c r="A8" s="86"/>
      <c r="B8" s="87"/>
      <c r="C8" s="94"/>
      <c r="D8" s="87"/>
      <c r="E8" s="95"/>
    </row>
    <row r="9" spans="1:9" ht="15" customHeight="1">
      <c r="A9" s="86" t="s">
        <v>207</v>
      </c>
      <c r="B9" s="87">
        <v>1</v>
      </c>
      <c r="C9" s="96">
        <v>42012</v>
      </c>
      <c r="D9" s="87"/>
      <c r="E9" s="87">
        <v>1</v>
      </c>
      <c r="G9" s="90"/>
    </row>
    <row r="10" spans="1:9" ht="15" customHeight="1">
      <c r="A10" s="86" t="s">
        <v>208</v>
      </c>
      <c r="B10" s="87">
        <v>1</v>
      </c>
      <c r="C10" s="88">
        <v>42016</v>
      </c>
      <c r="D10" s="87"/>
      <c r="E10" s="114">
        <v>1</v>
      </c>
      <c r="G10" s="90"/>
    </row>
    <row r="11" spans="1:9" s="91" customFormat="1">
      <c r="A11" s="86" t="s">
        <v>209</v>
      </c>
      <c r="B11" s="87">
        <v>1</v>
      </c>
      <c r="C11" s="96">
        <v>42013</v>
      </c>
      <c r="D11" s="87"/>
      <c r="E11" s="87">
        <v>1</v>
      </c>
      <c r="G11" s="89"/>
      <c r="H11" s="92"/>
      <c r="I11" s="93"/>
    </row>
    <row r="12" spans="1:9" s="91" customFormat="1" ht="15" customHeight="1">
      <c r="A12" s="86" t="s">
        <v>210</v>
      </c>
      <c r="B12" s="87">
        <v>1</v>
      </c>
      <c r="C12" s="88">
        <v>42052</v>
      </c>
      <c r="D12" s="87"/>
      <c r="E12" s="114">
        <v>1</v>
      </c>
      <c r="G12" s="97"/>
      <c r="H12" s="92"/>
      <c r="I12" s="93"/>
    </row>
    <row r="13" spans="1:9" s="91" customFormat="1" ht="15" customHeight="1">
      <c r="A13" s="86" t="s">
        <v>211</v>
      </c>
      <c r="B13" s="87">
        <v>1</v>
      </c>
      <c r="C13" s="96">
        <v>42013</v>
      </c>
      <c r="D13" s="87"/>
      <c r="E13" s="87">
        <v>1</v>
      </c>
      <c r="G13" s="97"/>
      <c r="H13" s="92"/>
      <c r="I13" s="93"/>
    </row>
    <row r="14" spans="1:9" ht="15" customHeight="1">
      <c r="A14" s="86"/>
      <c r="B14" s="87"/>
      <c r="C14" s="94"/>
      <c r="D14" s="87"/>
      <c r="E14" s="95"/>
    </row>
    <row r="15" spans="1:9" s="91" customFormat="1" ht="15" customHeight="1">
      <c r="A15" s="86" t="s">
        <v>212</v>
      </c>
      <c r="B15" s="87">
        <v>1</v>
      </c>
      <c r="C15" s="96">
        <v>42013</v>
      </c>
      <c r="D15" s="87"/>
      <c r="E15" s="87">
        <v>1</v>
      </c>
      <c r="G15" s="97"/>
      <c r="H15" s="92"/>
      <c r="I15" s="93"/>
    </row>
    <row r="16" spans="1:9" s="91" customFormat="1">
      <c r="A16" s="86" t="s">
        <v>213</v>
      </c>
      <c r="B16" s="87">
        <v>1</v>
      </c>
      <c r="C16" s="88">
        <v>42010</v>
      </c>
      <c r="D16" s="87">
        <v>1</v>
      </c>
      <c r="E16" s="87"/>
      <c r="G16" s="100"/>
      <c r="H16" s="92"/>
      <c r="I16" s="93"/>
    </row>
    <row r="17" spans="1:9" s="91" customFormat="1" ht="15" customHeight="1">
      <c r="A17" s="86" t="s">
        <v>214</v>
      </c>
      <c r="B17" s="87">
        <v>1</v>
      </c>
      <c r="C17" s="88">
        <v>42018</v>
      </c>
      <c r="D17" s="87"/>
      <c r="E17" s="87">
        <v>1</v>
      </c>
      <c r="G17" s="97"/>
      <c r="H17" s="92"/>
      <c r="I17" s="93"/>
    </row>
    <row r="18" spans="1:9" ht="15" customHeight="1">
      <c r="A18" s="86" t="s">
        <v>215</v>
      </c>
      <c r="B18" s="87">
        <v>1</v>
      </c>
      <c r="C18" s="88">
        <v>42016</v>
      </c>
      <c r="D18" s="87"/>
      <c r="E18" s="114">
        <v>1</v>
      </c>
    </row>
    <row r="19" spans="1:9" ht="15" customHeight="1">
      <c r="A19" s="86" t="s">
        <v>216</v>
      </c>
      <c r="B19" s="87"/>
      <c r="C19" s="94"/>
      <c r="D19" s="87"/>
      <c r="E19" s="95"/>
      <c r="G19" s="99"/>
    </row>
    <row r="20" spans="1:9" s="91" customFormat="1" ht="15" customHeight="1">
      <c r="A20" s="86" t="s">
        <v>217</v>
      </c>
      <c r="B20" s="87">
        <v>1</v>
      </c>
      <c r="C20" s="88">
        <v>42052</v>
      </c>
      <c r="D20" s="87"/>
      <c r="E20" s="114">
        <v>1</v>
      </c>
      <c r="G20" s="123"/>
      <c r="H20" s="92"/>
      <c r="I20" s="93"/>
    </row>
    <row r="21" spans="1:9" s="91" customFormat="1" ht="15" customHeight="1">
      <c r="A21" s="86" t="s">
        <v>218</v>
      </c>
      <c r="B21" s="87">
        <v>1</v>
      </c>
      <c r="C21" s="96">
        <v>42011</v>
      </c>
      <c r="D21" s="87">
        <v>1</v>
      </c>
      <c r="E21" s="87"/>
      <c r="G21" s="97"/>
      <c r="H21" s="92"/>
      <c r="I21" s="93"/>
    </row>
    <row r="22" spans="1:9" ht="15" customHeight="1">
      <c r="A22" s="86" t="s">
        <v>219</v>
      </c>
      <c r="B22" s="87">
        <v>1</v>
      </c>
      <c r="C22" s="88">
        <v>42019</v>
      </c>
      <c r="D22" s="87"/>
      <c r="E22" s="114">
        <v>1</v>
      </c>
    </row>
    <row r="23" spans="1:9" s="91" customFormat="1" ht="15" customHeight="1">
      <c r="A23" s="86" t="s">
        <v>220</v>
      </c>
      <c r="B23" s="87">
        <v>1</v>
      </c>
      <c r="C23" s="88">
        <v>42010</v>
      </c>
      <c r="D23" s="87">
        <v>1</v>
      </c>
      <c r="E23" s="87"/>
      <c r="G23" s="97"/>
      <c r="H23" s="92"/>
      <c r="I23" s="93"/>
    </row>
    <row r="24" spans="1:9" s="91" customFormat="1" ht="15" customHeight="1">
      <c r="A24" s="86" t="s">
        <v>221</v>
      </c>
      <c r="B24" s="87">
        <v>1</v>
      </c>
      <c r="C24" s="96">
        <v>42012</v>
      </c>
      <c r="D24" s="87"/>
      <c r="E24" s="87">
        <v>1</v>
      </c>
      <c r="G24" s="97"/>
      <c r="H24" s="92"/>
      <c r="I24" s="93"/>
    </row>
    <row r="25" spans="1:9" ht="15" customHeight="1">
      <c r="A25" s="86"/>
      <c r="B25" s="87"/>
      <c r="C25" s="94"/>
      <c r="D25" s="87"/>
      <c r="E25" s="95"/>
    </row>
    <row r="26" spans="1:9" s="91" customFormat="1" ht="15" customHeight="1">
      <c r="A26" s="86" t="s">
        <v>222</v>
      </c>
      <c r="B26" s="87">
        <v>1</v>
      </c>
      <c r="C26" s="96">
        <v>42017</v>
      </c>
      <c r="D26" s="87"/>
      <c r="E26" s="87">
        <v>1</v>
      </c>
      <c r="G26" s="97"/>
      <c r="H26" s="92"/>
      <c r="I26" s="93"/>
    </row>
    <row r="27" spans="1:9" ht="15" customHeight="1">
      <c r="A27" s="86" t="s">
        <v>223</v>
      </c>
      <c r="B27" s="87">
        <v>1</v>
      </c>
      <c r="C27" s="88">
        <v>42018</v>
      </c>
      <c r="D27" s="87"/>
      <c r="E27" s="87">
        <v>1</v>
      </c>
    </row>
    <row r="28" spans="1:9" s="91" customFormat="1" ht="15" customHeight="1">
      <c r="A28" s="86" t="s">
        <v>224</v>
      </c>
      <c r="B28" s="87">
        <v>1</v>
      </c>
      <c r="C28" s="96">
        <v>42023</v>
      </c>
      <c r="D28" s="87"/>
      <c r="E28" s="87">
        <v>1</v>
      </c>
      <c r="G28" s="97"/>
      <c r="H28" s="92"/>
      <c r="I28" s="93"/>
    </row>
    <row r="29" spans="1:9" s="91" customFormat="1" ht="15" customHeight="1">
      <c r="A29" s="86" t="s">
        <v>225</v>
      </c>
      <c r="B29" s="87">
        <v>1</v>
      </c>
      <c r="C29" s="96">
        <v>42017</v>
      </c>
      <c r="D29" s="87"/>
      <c r="E29" s="87">
        <v>1</v>
      </c>
      <c r="G29" s="97"/>
      <c r="H29" s="92"/>
      <c r="I29" s="93"/>
    </row>
    <row r="30" spans="1:9" s="91" customFormat="1" ht="15" customHeight="1">
      <c r="A30" s="86" t="s">
        <v>226</v>
      </c>
      <c r="B30" s="87">
        <v>1</v>
      </c>
      <c r="C30" s="88">
        <v>42009</v>
      </c>
      <c r="D30" s="87">
        <v>1</v>
      </c>
      <c r="E30" s="87"/>
      <c r="G30" s="97"/>
      <c r="H30" s="92"/>
      <c r="I30" s="93"/>
    </row>
    <row r="31" spans="1:9" s="91" customFormat="1" ht="15" customHeight="1">
      <c r="A31" s="86" t="s">
        <v>227</v>
      </c>
      <c r="B31" s="87">
        <v>1</v>
      </c>
      <c r="C31" s="88">
        <v>42052</v>
      </c>
      <c r="D31" s="87"/>
      <c r="E31" s="87">
        <v>1</v>
      </c>
      <c r="G31" s="97"/>
      <c r="H31" s="92"/>
      <c r="I31" s="93"/>
    </row>
    <row r="32" spans="1:9" ht="15" customHeight="1">
      <c r="A32" s="86"/>
      <c r="B32" s="87"/>
      <c r="C32" s="94"/>
      <c r="D32" s="87"/>
      <c r="E32" s="95"/>
    </row>
    <row r="33" spans="1:9" s="91" customFormat="1" ht="15" customHeight="1">
      <c r="A33" s="86" t="s">
        <v>24</v>
      </c>
      <c r="B33" s="87">
        <v>1</v>
      </c>
      <c r="C33" s="88">
        <v>42009</v>
      </c>
      <c r="D33" s="87">
        <v>1</v>
      </c>
      <c r="E33" s="87"/>
      <c r="G33" s="97"/>
      <c r="H33" s="92"/>
      <c r="I33" s="93"/>
    </row>
    <row r="34" spans="1:9" s="91" customFormat="1" ht="15" customHeight="1">
      <c r="A34" s="86" t="s">
        <v>228</v>
      </c>
      <c r="B34" s="87">
        <v>1</v>
      </c>
      <c r="C34" s="88">
        <v>42016</v>
      </c>
      <c r="D34" s="87"/>
      <c r="E34" s="114">
        <v>1</v>
      </c>
      <c r="G34" s="97"/>
      <c r="H34" s="92"/>
      <c r="I34" s="93"/>
    </row>
    <row r="35" spans="1:9" ht="15" customHeight="1">
      <c r="A35" s="86"/>
      <c r="B35" s="87"/>
      <c r="C35" s="94"/>
      <c r="D35" s="87"/>
      <c r="E35" s="95"/>
    </row>
    <row r="36" spans="1:9" ht="15" customHeight="1">
      <c r="A36" s="86" t="s">
        <v>229</v>
      </c>
      <c r="B36" s="87">
        <v>1</v>
      </c>
      <c r="C36" s="88">
        <v>42033</v>
      </c>
      <c r="D36" s="87"/>
      <c r="E36" s="114">
        <v>1</v>
      </c>
    </row>
    <row r="37" spans="1:9" s="91" customFormat="1" ht="15" customHeight="1">
      <c r="A37" s="86" t="s">
        <v>230</v>
      </c>
      <c r="B37" s="87">
        <v>1</v>
      </c>
      <c r="C37" s="88">
        <v>42052</v>
      </c>
      <c r="D37" s="87"/>
      <c r="E37" s="114">
        <v>1</v>
      </c>
      <c r="F37" s="91" t="s">
        <v>307</v>
      </c>
      <c r="G37" s="100"/>
      <c r="H37" s="92"/>
      <c r="I37" s="93"/>
    </row>
    <row r="38" spans="1:9" ht="15" customHeight="1">
      <c r="A38" s="86" t="s">
        <v>231</v>
      </c>
      <c r="B38" s="87">
        <v>1</v>
      </c>
      <c r="C38" s="88">
        <v>42019</v>
      </c>
      <c r="D38" s="87"/>
      <c r="E38" s="114">
        <v>1</v>
      </c>
      <c r="G38" s="98"/>
    </row>
    <row r="39" spans="1:9" ht="15" customHeight="1">
      <c r="A39" s="86"/>
      <c r="B39" s="87"/>
      <c r="C39" s="94"/>
      <c r="D39" s="87"/>
      <c r="E39" s="95"/>
    </row>
    <row r="40" spans="1:9" s="91" customFormat="1" ht="13.5" customHeight="1">
      <c r="A40" s="86" t="s">
        <v>232</v>
      </c>
      <c r="B40" s="87">
        <v>1</v>
      </c>
      <c r="C40" s="88">
        <v>42016</v>
      </c>
      <c r="D40" s="87"/>
      <c r="E40" s="114">
        <v>1</v>
      </c>
      <c r="G40" s="98"/>
      <c r="H40" s="92"/>
      <c r="I40" s="93"/>
    </row>
    <row r="41" spans="1:9" s="91" customFormat="1" ht="15" customHeight="1">
      <c r="A41" s="86" t="s">
        <v>233</v>
      </c>
      <c r="B41" s="87">
        <v>1</v>
      </c>
      <c r="C41" s="88">
        <v>42010</v>
      </c>
      <c r="D41" s="87">
        <v>1</v>
      </c>
      <c r="E41" s="87"/>
      <c r="G41" s="97"/>
      <c r="H41" s="92"/>
      <c r="I41" s="93"/>
    </row>
    <row r="42" spans="1:9" s="91" customFormat="1">
      <c r="A42" s="86" t="s">
        <v>234</v>
      </c>
      <c r="B42" s="87">
        <v>1</v>
      </c>
      <c r="C42" s="96">
        <v>42011</v>
      </c>
      <c r="D42" s="87">
        <v>1</v>
      </c>
      <c r="E42" s="87"/>
      <c r="G42" s="89"/>
      <c r="H42" s="92"/>
      <c r="I42" s="93"/>
    </row>
    <row r="43" spans="1:9" ht="15" customHeight="1">
      <c r="A43" s="86" t="s">
        <v>235</v>
      </c>
      <c r="B43" s="87">
        <v>1</v>
      </c>
      <c r="C43" s="88">
        <v>42024</v>
      </c>
      <c r="D43" s="87"/>
      <c r="E43" s="87">
        <v>1</v>
      </c>
    </row>
    <row r="44" spans="1:9" ht="15" customHeight="1">
      <c r="A44" s="86"/>
      <c r="B44" s="87"/>
      <c r="C44" s="94"/>
      <c r="D44" s="87"/>
      <c r="E44" s="95"/>
    </row>
    <row r="45" spans="1:9">
      <c r="A45" s="86" t="s">
        <v>236</v>
      </c>
      <c r="B45" s="87">
        <v>1</v>
      </c>
      <c r="C45" s="96">
        <v>42051</v>
      </c>
      <c r="D45" s="87"/>
      <c r="E45" s="87">
        <v>1</v>
      </c>
    </row>
    <row r="46" spans="1:9" ht="15" customHeight="1">
      <c r="A46" s="86" t="s">
        <v>237</v>
      </c>
      <c r="B46" s="87">
        <v>1</v>
      </c>
      <c r="C46" s="88">
        <v>42010</v>
      </c>
      <c r="D46" s="87">
        <v>1</v>
      </c>
      <c r="E46" s="87"/>
    </row>
    <row r="47" spans="1:9" s="91" customFormat="1" ht="15" customHeight="1">
      <c r="A47" s="86" t="s">
        <v>238</v>
      </c>
      <c r="B47" s="87">
        <v>1</v>
      </c>
      <c r="C47" s="88">
        <v>42052</v>
      </c>
      <c r="D47" s="87"/>
      <c r="E47" s="87">
        <v>1</v>
      </c>
      <c r="G47" s="97"/>
      <c r="H47" s="92"/>
      <c r="I47" s="93"/>
    </row>
    <row r="48" spans="1:9" ht="15" customHeight="1">
      <c r="A48" s="86" t="s">
        <v>239</v>
      </c>
      <c r="B48" s="87">
        <v>1</v>
      </c>
      <c r="C48" s="96">
        <v>42051</v>
      </c>
      <c r="D48" s="87"/>
      <c r="E48" s="87">
        <v>1</v>
      </c>
    </row>
    <row r="49" spans="1:9">
      <c r="A49" s="86" t="s">
        <v>240</v>
      </c>
      <c r="B49" s="87">
        <v>1</v>
      </c>
      <c r="C49" s="88">
        <v>42009</v>
      </c>
      <c r="D49" s="87">
        <v>1</v>
      </c>
      <c r="E49" s="87"/>
    </row>
    <row r="50" spans="1:9" ht="15" customHeight="1">
      <c r="A50" s="86"/>
      <c r="B50" s="87"/>
      <c r="C50" s="94"/>
      <c r="D50" s="87"/>
      <c r="E50" s="95"/>
    </row>
    <row r="51" spans="1:9" s="91" customFormat="1" ht="15" customHeight="1">
      <c r="A51" s="86" t="s">
        <v>241</v>
      </c>
      <c r="B51" s="87">
        <v>1</v>
      </c>
      <c r="C51" s="88">
        <v>42019</v>
      </c>
      <c r="D51" s="87"/>
      <c r="E51" s="114">
        <v>1</v>
      </c>
      <c r="G51" s="97"/>
      <c r="H51" s="92"/>
      <c r="I51" s="93"/>
    </row>
    <row r="52" spans="1:9" ht="15" customHeight="1">
      <c r="A52" s="86" t="s">
        <v>242</v>
      </c>
      <c r="B52" s="87">
        <v>1</v>
      </c>
      <c r="C52" s="88">
        <v>42009</v>
      </c>
      <c r="D52" s="87">
        <v>1</v>
      </c>
      <c r="E52" s="87"/>
    </row>
    <row r="53" spans="1:9" ht="15" customHeight="1">
      <c r="A53" s="86" t="s">
        <v>243</v>
      </c>
      <c r="B53" s="87">
        <v>1</v>
      </c>
      <c r="C53" s="88">
        <v>42009</v>
      </c>
      <c r="D53" s="87">
        <v>1</v>
      </c>
      <c r="E53" s="87"/>
    </row>
    <row r="54" spans="1:9" s="91" customFormat="1" ht="15" customHeight="1">
      <c r="A54" s="86" t="s">
        <v>244</v>
      </c>
      <c r="B54" s="87">
        <v>1</v>
      </c>
      <c r="C54" s="96">
        <v>42012</v>
      </c>
      <c r="D54" s="87"/>
      <c r="E54" s="87">
        <v>1</v>
      </c>
      <c r="G54" s="97"/>
      <c r="H54" s="92"/>
      <c r="I54" s="93"/>
    </row>
    <row r="55" spans="1:9" s="91" customFormat="1" ht="15" customHeight="1">
      <c r="A55" s="86" t="s">
        <v>245</v>
      </c>
      <c r="B55" s="87">
        <v>1</v>
      </c>
      <c r="C55" s="96">
        <v>42019</v>
      </c>
      <c r="D55" s="87"/>
      <c r="E55" s="87">
        <v>1</v>
      </c>
      <c r="G55" s="97"/>
      <c r="H55" s="92"/>
      <c r="I55" s="93"/>
    </row>
    <row r="56" spans="1:9" ht="15" customHeight="1">
      <c r="A56" s="86" t="s">
        <v>246</v>
      </c>
      <c r="B56" s="87">
        <v>1</v>
      </c>
      <c r="C56" s="88">
        <v>42010</v>
      </c>
      <c r="D56" s="87">
        <v>1</v>
      </c>
      <c r="E56" s="87"/>
    </row>
    <row r="57" spans="1:9" ht="15" customHeight="1">
      <c r="A57" s="86" t="s">
        <v>247</v>
      </c>
      <c r="B57" s="87">
        <v>1</v>
      </c>
      <c r="C57" s="88">
        <v>42006</v>
      </c>
      <c r="D57" s="87">
        <v>1</v>
      </c>
      <c r="E57" s="87"/>
    </row>
    <row r="58" spans="1:9" ht="15" customHeight="1">
      <c r="A58" s="86"/>
      <c r="B58" s="87"/>
      <c r="C58" s="94"/>
      <c r="D58" s="87"/>
      <c r="E58" s="95"/>
    </row>
    <row r="59" spans="1:9" s="91" customFormat="1" ht="15" customHeight="1">
      <c r="A59" s="86" t="s">
        <v>248</v>
      </c>
      <c r="B59" s="87">
        <v>1</v>
      </c>
      <c r="C59" s="88">
        <v>42011</v>
      </c>
      <c r="D59" s="87">
        <v>1</v>
      </c>
      <c r="E59" s="87"/>
      <c r="G59" s="97"/>
      <c r="H59" s="92"/>
      <c r="I59" s="93"/>
    </row>
    <row r="60" spans="1:9" s="91" customFormat="1" ht="15" customHeight="1">
      <c r="A60" s="86" t="s">
        <v>249</v>
      </c>
      <c r="B60" s="87">
        <v>1</v>
      </c>
      <c r="C60" s="88">
        <v>42052</v>
      </c>
      <c r="D60" s="87"/>
      <c r="E60" s="114">
        <v>1</v>
      </c>
      <c r="G60" s="97"/>
      <c r="H60" s="92"/>
      <c r="I60" s="93"/>
    </row>
    <row r="61" spans="1:9">
      <c r="A61" s="86" t="s">
        <v>250</v>
      </c>
      <c r="B61" s="87">
        <v>1</v>
      </c>
      <c r="C61" s="96">
        <v>42009</v>
      </c>
      <c r="D61" s="87">
        <v>1</v>
      </c>
      <c r="E61" s="87"/>
    </row>
    <row r="62" spans="1:9" ht="15" customHeight="1">
      <c r="A62" s="86"/>
      <c r="B62" s="87"/>
      <c r="C62" s="94"/>
      <c r="D62" s="87"/>
      <c r="E62" s="95"/>
    </row>
    <row r="63" spans="1:9" ht="15" customHeight="1">
      <c r="A63" s="86" t="s">
        <v>251</v>
      </c>
      <c r="B63" s="87">
        <v>1</v>
      </c>
      <c r="C63" s="88">
        <v>42039</v>
      </c>
      <c r="D63" s="87"/>
      <c r="E63" s="114">
        <v>1</v>
      </c>
      <c r="G63" s="98"/>
    </row>
    <row r="64" spans="1:9" s="91" customFormat="1" ht="15" customHeight="1">
      <c r="A64" s="86" t="s">
        <v>252</v>
      </c>
      <c r="B64" s="87">
        <v>1</v>
      </c>
      <c r="C64" s="88">
        <v>42009</v>
      </c>
      <c r="D64" s="87">
        <v>1</v>
      </c>
      <c r="E64" s="87"/>
      <c r="G64" s="97"/>
      <c r="H64" s="92"/>
      <c r="I64" s="93"/>
    </row>
    <row r="65" spans="1:9" s="91" customFormat="1" ht="15" customHeight="1">
      <c r="A65" s="86" t="s">
        <v>253</v>
      </c>
      <c r="B65" s="87">
        <v>1</v>
      </c>
      <c r="C65" s="96">
        <v>42013</v>
      </c>
      <c r="D65" s="87"/>
      <c r="E65" s="87">
        <v>1</v>
      </c>
      <c r="G65" s="97"/>
      <c r="H65" s="92"/>
      <c r="I65" s="93"/>
    </row>
    <row r="66" spans="1:9" ht="15" customHeight="1">
      <c r="A66" s="86" t="s">
        <v>254</v>
      </c>
      <c r="B66" s="87">
        <v>1</v>
      </c>
      <c r="C66" s="88">
        <v>42011</v>
      </c>
      <c r="D66" s="87">
        <v>1</v>
      </c>
      <c r="E66" s="87"/>
    </row>
    <row r="67" spans="1:9" ht="15" customHeight="1">
      <c r="A67" s="86" t="s">
        <v>255</v>
      </c>
      <c r="B67" s="87">
        <v>1</v>
      </c>
      <c r="C67" s="88">
        <v>42016</v>
      </c>
      <c r="D67" s="87"/>
      <c r="E67" s="114">
        <v>1</v>
      </c>
    </row>
    <row r="68" spans="1:9" s="91" customFormat="1" ht="15" customHeight="1">
      <c r="A68" s="86" t="s">
        <v>256</v>
      </c>
      <c r="B68" s="87">
        <v>1</v>
      </c>
      <c r="C68" s="96">
        <v>42052</v>
      </c>
      <c r="D68" s="87"/>
      <c r="E68" s="87">
        <v>1</v>
      </c>
      <c r="G68" s="97"/>
      <c r="H68" s="92"/>
      <c r="I68" s="93"/>
    </row>
    <row r="69" spans="1:9" ht="15" customHeight="1">
      <c r="A69" s="86" t="s">
        <v>257</v>
      </c>
      <c r="B69" s="87">
        <v>1</v>
      </c>
      <c r="C69" s="96">
        <v>42012</v>
      </c>
      <c r="D69" s="87"/>
      <c r="E69" s="87">
        <v>1</v>
      </c>
    </row>
    <row r="70" spans="1:9" ht="15" customHeight="1">
      <c r="A70" s="86" t="s">
        <v>258</v>
      </c>
      <c r="B70" s="87">
        <v>1</v>
      </c>
      <c r="C70" s="88">
        <v>42011</v>
      </c>
      <c r="D70" s="87">
        <v>1</v>
      </c>
      <c r="E70" s="87"/>
    </row>
    <row r="71" spans="1:9" ht="15" customHeight="1">
      <c r="A71" s="86"/>
      <c r="B71" s="87"/>
      <c r="C71" s="94"/>
      <c r="D71" s="87"/>
      <c r="E71" s="95"/>
    </row>
    <row r="72" spans="1:9" ht="15" customHeight="1">
      <c r="A72" s="86" t="s">
        <v>259</v>
      </c>
      <c r="B72" s="87">
        <v>1</v>
      </c>
      <c r="C72" s="88">
        <v>42011</v>
      </c>
      <c r="D72" s="87">
        <v>1</v>
      </c>
      <c r="E72" s="114"/>
    </row>
    <row r="73" spans="1:9">
      <c r="A73" s="86" t="s">
        <v>260</v>
      </c>
      <c r="B73" s="87">
        <v>1</v>
      </c>
      <c r="C73" s="88">
        <v>42011</v>
      </c>
      <c r="D73" s="87">
        <v>1</v>
      </c>
      <c r="E73" s="114"/>
      <c r="G73" s="98"/>
      <c r="I73" s="93"/>
    </row>
    <row r="74" spans="1:9" ht="15" customHeight="1">
      <c r="A74" s="86" t="s">
        <v>261</v>
      </c>
      <c r="B74" s="87">
        <v>1</v>
      </c>
      <c r="C74" s="88">
        <v>42011</v>
      </c>
      <c r="D74" s="87">
        <v>1</v>
      </c>
      <c r="E74" s="114"/>
    </row>
    <row r="75" spans="1:9" ht="15" customHeight="1">
      <c r="A75" s="86" t="s">
        <v>262</v>
      </c>
      <c r="B75" s="87">
        <v>1</v>
      </c>
      <c r="C75" s="88">
        <v>42011</v>
      </c>
      <c r="D75" s="87">
        <v>1</v>
      </c>
      <c r="E75" s="114"/>
    </row>
    <row r="76" spans="1:9" ht="15" customHeight="1">
      <c r="A76" s="86"/>
      <c r="B76" s="87"/>
      <c r="C76" s="94"/>
      <c r="D76" s="87"/>
      <c r="E76" s="95"/>
    </row>
    <row r="77" spans="1:9" ht="15" customHeight="1">
      <c r="A77" s="86" t="s">
        <v>263</v>
      </c>
      <c r="B77" s="87">
        <v>1</v>
      </c>
      <c r="C77" s="88">
        <v>42018</v>
      </c>
      <c r="D77" s="87"/>
      <c r="E77" s="87">
        <v>1</v>
      </c>
    </row>
    <row r="78" spans="1:9" s="91" customFormat="1" ht="15" customHeight="1">
      <c r="A78" s="86" t="s">
        <v>264</v>
      </c>
      <c r="B78" s="87">
        <v>1</v>
      </c>
      <c r="C78" s="96">
        <v>42051</v>
      </c>
      <c r="D78" s="87"/>
      <c r="E78" s="87">
        <v>1</v>
      </c>
      <c r="G78" s="97"/>
      <c r="H78" s="92"/>
      <c r="I78" s="93"/>
    </row>
    <row r="79" spans="1:9" s="91" customFormat="1" ht="15" customHeight="1">
      <c r="A79" s="86" t="s">
        <v>265</v>
      </c>
      <c r="B79" s="87">
        <v>1</v>
      </c>
      <c r="C79" s="96">
        <v>42052</v>
      </c>
      <c r="D79" s="87"/>
      <c r="E79" s="87">
        <v>1</v>
      </c>
      <c r="G79" s="97"/>
      <c r="H79" s="92"/>
      <c r="I79" s="93"/>
    </row>
    <row r="80" spans="1:9" ht="15" customHeight="1">
      <c r="A80" s="86"/>
      <c r="B80" s="87"/>
      <c r="C80" s="94"/>
      <c r="D80" s="87"/>
      <c r="E80" s="95"/>
    </row>
    <row r="81" spans="1:9" s="91" customFormat="1" ht="15" customHeight="1">
      <c r="A81" s="86" t="s">
        <v>266</v>
      </c>
      <c r="B81" s="87">
        <v>1</v>
      </c>
      <c r="C81" s="96">
        <v>42013</v>
      </c>
      <c r="D81" s="87"/>
      <c r="E81" s="87">
        <v>1</v>
      </c>
      <c r="G81" s="97"/>
      <c r="H81" s="92"/>
      <c r="I81" s="93"/>
    </row>
    <row r="82" spans="1:9" s="91" customFormat="1" ht="15" customHeight="1">
      <c r="A82" s="86" t="s">
        <v>267</v>
      </c>
      <c r="B82" s="87">
        <v>1</v>
      </c>
      <c r="C82" s="96">
        <v>42013</v>
      </c>
      <c r="D82" s="87"/>
      <c r="E82" s="87">
        <v>1</v>
      </c>
      <c r="G82" s="97"/>
      <c r="H82" s="92"/>
      <c r="I82" s="93"/>
    </row>
    <row r="83" spans="1:9" s="91" customFormat="1">
      <c r="A83" s="86" t="s">
        <v>268</v>
      </c>
      <c r="B83" s="87">
        <v>1</v>
      </c>
      <c r="C83" s="96">
        <v>42012</v>
      </c>
      <c r="D83" s="87"/>
      <c r="E83" s="87">
        <v>1</v>
      </c>
      <c r="G83" s="97"/>
      <c r="H83" s="92"/>
      <c r="I83" s="93"/>
    </row>
    <row r="84" spans="1:9" ht="15" customHeight="1">
      <c r="A84" s="86"/>
      <c r="B84" s="87"/>
      <c r="C84" s="94"/>
      <c r="D84" s="87"/>
      <c r="E84" s="95"/>
    </row>
    <row r="85" spans="1:9" s="91" customFormat="1" ht="15" customHeight="1">
      <c r="A85" s="86" t="s">
        <v>269</v>
      </c>
      <c r="B85" s="87">
        <v>1</v>
      </c>
      <c r="C85" s="96">
        <v>42017</v>
      </c>
      <c r="D85" s="87"/>
      <c r="E85" s="87">
        <v>1</v>
      </c>
      <c r="G85" s="97"/>
      <c r="H85" s="92"/>
      <c r="I85" s="93"/>
    </row>
    <row r="86" spans="1:9" ht="15" customHeight="1">
      <c r="A86" s="86" t="s">
        <v>270</v>
      </c>
      <c r="B86" s="87">
        <v>1</v>
      </c>
      <c r="C86" s="88">
        <v>42018</v>
      </c>
      <c r="D86" s="87"/>
      <c r="E86" s="87">
        <v>1</v>
      </c>
    </row>
    <row r="87" spans="1:9" s="91" customFormat="1" ht="15" customHeight="1">
      <c r="A87" s="86" t="s">
        <v>271</v>
      </c>
      <c r="B87" s="87">
        <v>1</v>
      </c>
      <c r="C87" s="88">
        <v>42014</v>
      </c>
      <c r="D87" s="87"/>
      <c r="E87" s="114">
        <v>1</v>
      </c>
      <c r="G87" s="97"/>
      <c r="H87" s="92"/>
      <c r="I87" s="93"/>
    </row>
    <row r="88" spans="1:9" ht="15" customHeight="1">
      <c r="A88" s="86"/>
      <c r="B88" s="87"/>
      <c r="C88" s="94"/>
      <c r="D88" s="87"/>
      <c r="E88" s="95"/>
    </row>
    <row r="89" spans="1:9" ht="15" customHeight="1">
      <c r="A89" s="86" t="s">
        <v>272</v>
      </c>
      <c r="B89" s="87"/>
      <c r="C89" s="94"/>
      <c r="D89" s="87"/>
      <c r="E89" s="95"/>
    </row>
    <row r="90" spans="1:9" s="91" customFormat="1">
      <c r="A90" s="86" t="s">
        <v>273</v>
      </c>
      <c r="B90" s="87">
        <v>1</v>
      </c>
      <c r="C90" s="88">
        <v>42017</v>
      </c>
      <c r="D90" s="87"/>
      <c r="E90" s="87">
        <v>1</v>
      </c>
      <c r="G90" s="97"/>
      <c r="H90" s="92"/>
      <c r="I90" s="93"/>
    </row>
    <row r="91" spans="1:9">
      <c r="A91" s="86" t="s">
        <v>274</v>
      </c>
      <c r="B91" s="87">
        <v>1</v>
      </c>
      <c r="C91" s="88">
        <v>42052</v>
      </c>
      <c r="D91" s="87"/>
      <c r="E91" s="114">
        <v>1</v>
      </c>
    </row>
    <row r="92" spans="1:9" s="91" customFormat="1" ht="15" customHeight="1">
      <c r="A92" s="86" t="s">
        <v>275</v>
      </c>
      <c r="B92" s="87">
        <v>1</v>
      </c>
      <c r="C92" s="88">
        <v>42025</v>
      </c>
      <c r="D92" s="87"/>
      <c r="E92" s="87">
        <v>1</v>
      </c>
      <c r="G92" s="97"/>
      <c r="H92" s="92"/>
      <c r="I92" s="93"/>
    </row>
    <row r="93" spans="1:9" ht="15" customHeight="1">
      <c r="A93" s="86" t="s">
        <v>276</v>
      </c>
      <c r="B93" s="87">
        <v>1</v>
      </c>
      <c r="C93" s="88">
        <v>42025</v>
      </c>
      <c r="D93" s="87"/>
      <c r="E93" s="87">
        <v>1</v>
      </c>
    </row>
    <row r="94" spans="1:9" s="91" customFormat="1" ht="15" customHeight="1">
      <c r="A94" s="86" t="s">
        <v>277</v>
      </c>
      <c r="B94" s="87">
        <v>1</v>
      </c>
      <c r="C94" s="96">
        <v>42012</v>
      </c>
      <c r="D94" s="87"/>
      <c r="E94" s="87">
        <v>1</v>
      </c>
      <c r="G94" s="97"/>
      <c r="H94" s="92"/>
      <c r="I94" s="93"/>
    </row>
    <row r="95" spans="1:9" s="91" customFormat="1" ht="15" customHeight="1">
      <c r="A95" s="86" t="s">
        <v>278</v>
      </c>
      <c r="B95" s="87">
        <v>1</v>
      </c>
      <c r="C95" s="96">
        <v>42013</v>
      </c>
      <c r="D95" s="87"/>
      <c r="E95" s="87">
        <v>1</v>
      </c>
      <c r="G95" s="97"/>
      <c r="H95" s="92"/>
      <c r="I95" s="93"/>
    </row>
    <row r="96" spans="1:9" s="91" customFormat="1" ht="15" customHeight="1">
      <c r="A96" s="86" t="s">
        <v>279</v>
      </c>
      <c r="B96" s="87">
        <v>1</v>
      </c>
      <c r="C96" s="96">
        <v>42012</v>
      </c>
      <c r="D96" s="87"/>
      <c r="E96" s="87">
        <v>1</v>
      </c>
      <c r="G96" s="97"/>
      <c r="H96" s="92"/>
      <c r="I96" s="93"/>
    </row>
    <row r="97" spans="1:9" ht="15" customHeight="1">
      <c r="A97" s="86" t="s">
        <v>280</v>
      </c>
      <c r="B97" s="87">
        <v>1</v>
      </c>
      <c r="C97" s="88">
        <v>42041</v>
      </c>
      <c r="D97" s="87"/>
      <c r="E97" s="87">
        <v>1</v>
      </c>
    </row>
    <row r="98" spans="1:9" s="91" customFormat="1" ht="15" customHeight="1">
      <c r="A98" s="86" t="s">
        <v>281</v>
      </c>
      <c r="B98" s="87">
        <v>1</v>
      </c>
      <c r="C98" s="88">
        <v>42018</v>
      </c>
      <c r="D98" s="87"/>
      <c r="E98" s="87">
        <v>1</v>
      </c>
      <c r="G98" s="97"/>
      <c r="H98" s="92"/>
      <c r="I98" s="93"/>
    </row>
    <row r="99" spans="1:9" ht="15" customHeight="1">
      <c r="A99" s="86" t="s">
        <v>282</v>
      </c>
      <c r="B99" s="87">
        <v>1</v>
      </c>
      <c r="C99" s="88">
        <v>42011</v>
      </c>
      <c r="D99" s="87">
        <v>1</v>
      </c>
      <c r="E99" s="87"/>
    </row>
    <row r="100" spans="1:9" s="91" customFormat="1" ht="15" customHeight="1">
      <c r="A100" s="86" t="s">
        <v>283</v>
      </c>
      <c r="B100" s="87">
        <v>1</v>
      </c>
      <c r="C100" s="88">
        <v>42024</v>
      </c>
      <c r="D100" s="87"/>
      <c r="E100" s="87">
        <v>1</v>
      </c>
      <c r="G100" s="97"/>
      <c r="H100" s="92"/>
      <c r="I100" s="93"/>
    </row>
    <row r="101" spans="1:9" s="115" customFormat="1" ht="15" customHeight="1">
      <c r="A101" s="113" t="s">
        <v>284</v>
      </c>
      <c r="B101" s="87">
        <v>1</v>
      </c>
      <c r="C101" s="88">
        <v>42025</v>
      </c>
      <c r="D101" s="87"/>
      <c r="E101" s="87">
        <v>1</v>
      </c>
      <c r="G101" s="116"/>
      <c r="H101" s="117"/>
      <c r="I101" s="118"/>
    </row>
    <row r="102" spans="1:9" ht="15" customHeight="1">
      <c r="A102" s="86"/>
      <c r="B102" s="87"/>
      <c r="C102" s="94"/>
      <c r="D102" s="87"/>
      <c r="E102" s="95"/>
    </row>
    <row r="103" spans="1:9" ht="15" customHeight="1">
      <c r="A103" s="86" t="s">
        <v>285</v>
      </c>
      <c r="B103" s="87"/>
      <c r="C103" s="94"/>
      <c r="D103" s="87"/>
      <c r="E103" s="95"/>
    </row>
    <row r="104" spans="1:9" s="91" customFormat="1" ht="15" customHeight="1">
      <c r="A104" s="86" t="s">
        <v>286</v>
      </c>
      <c r="B104" s="87">
        <v>1</v>
      </c>
      <c r="C104" s="96">
        <v>42051</v>
      </c>
      <c r="D104" s="87"/>
      <c r="E104" s="87">
        <v>1</v>
      </c>
      <c r="G104" s="97"/>
      <c r="H104" s="92"/>
      <c r="I104" s="93"/>
    </row>
    <row r="105" spans="1:9" s="91" customFormat="1" ht="15" customHeight="1">
      <c r="A105" s="86" t="s">
        <v>287</v>
      </c>
      <c r="B105" s="87">
        <v>1</v>
      </c>
      <c r="C105" s="96">
        <v>42052</v>
      </c>
      <c r="D105" s="87"/>
      <c r="E105" s="87">
        <v>1</v>
      </c>
      <c r="G105" s="97"/>
      <c r="H105" s="92"/>
      <c r="I105" s="93"/>
    </row>
    <row r="106" spans="1:9" s="76" customFormat="1">
      <c r="A106" s="101"/>
      <c r="B106" s="75"/>
      <c r="D106" s="102"/>
      <c r="G106" s="103"/>
      <c r="H106" s="79"/>
      <c r="I106" s="80"/>
    </row>
    <row r="107" spans="1:9" s="76" customFormat="1">
      <c r="A107" s="104" t="s">
        <v>288</v>
      </c>
      <c r="B107" s="75">
        <f>SUM(B3:B105)</f>
        <v>84</v>
      </c>
      <c r="D107" s="75">
        <f>SUM(D3:D105)</f>
        <v>23</v>
      </c>
      <c r="E107" s="75">
        <f>SUM(E3:E105)</f>
        <v>61</v>
      </c>
      <c r="G107" s="75"/>
      <c r="H107" s="105"/>
      <c r="I107" s="80"/>
    </row>
    <row r="108" spans="1:9" s="76" customFormat="1">
      <c r="A108" s="104" t="s">
        <v>289</v>
      </c>
      <c r="B108" s="106">
        <v>84</v>
      </c>
      <c r="D108" s="102"/>
      <c r="G108" s="103"/>
      <c r="H108" s="105"/>
      <c r="I108" s="80"/>
    </row>
    <row r="109" spans="1:9" s="76" customFormat="1">
      <c r="A109" s="107" t="s">
        <v>290</v>
      </c>
      <c r="B109" s="108">
        <f>+B107/B108</f>
        <v>1</v>
      </c>
      <c r="D109" s="109">
        <f>+D107/B108</f>
        <v>0.27380952380952384</v>
      </c>
      <c r="E109" s="109">
        <f>+E107/B108</f>
        <v>0.72619047619047616</v>
      </c>
      <c r="G109" s="103"/>
      <c r="H109" s="79"/>
      <c r="I109" s="110"/>
    </row>
    <row r="110" spans="1:9" s="76" customFormat="1">
      <c r="A110" s="74"/>
      <c r="B110" s="75"/>
      <c r="D110" s="102" t="s">
        <v>216</v>
      </c>
      <c r="G110" s="103"/>
      <c r="H110" s="79"/>
      <c r="I110" s="80"/>
    </row>
  </sheetData>
  <autoFilter ref="A1:I105">
    <filterColumn colId="0"/>
    <filterColumn colId="1"/>
  </autoFilter>
  <pageMargins left="1.61" right="0.2" top="0.31" bottom="0.25" header="0.23" footer="0.17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T207"/>
  <sheetViews>
    <sheetView zoomScale="75" zoomScaleNormal="75" workbookViewId="0">
      <pane xSplit="2" ySplit="6" topLeftCell="C69" activePane="bottomRight" state="frozen"/>
      <selection pane="topRight" activeCell="F1" sqref="F1"/>
      <selection pane="bottomLeft" activeCell="A7" sqref="A7"/>
      <selection pane="bottomRight" activeCell="G45" sqref="G45"/>
    </sheetView>
  </sheetViews>
  <sheetFormatPr defaultRowHeight="24.95" customHeight="1"/>
  <cols>
    <col min="1" max="1" width="8.5703125" style="2" customWidth="1"/>
    <col min="2" max="2" width="33.7109375" style="57" customWidth="1"/>
    <col min="3" max="3" width="19.7109375" style="2" customWidth="1"/>
    <col min="4" max="4" width="19.28515625" style="2" customWidth="1"/>
    <col min="5" max="5" width="17.85546875" style="2" customWidth="1"/>
    <col min="6" max="6" width="0.7109375" style="2" customWidth="1"/>
    <col min="7" max="7" width="17.85546875" style="2" customWidth="1"/>
    <col min="8" max="8" width="17.7109375" style="2" customWidth="1"/>
    <col min="9" max="9" width="16.7109375" style="2" customWidth="1"/>
    <col min="10" max="10" width="0.5703125" style="2" customWidth="1"/>
    <col min="11" max="11" width="18.140625" style="2" customWidth="1"/>
    <col min="12" max="12" width="17.7109375" style="2" customWidth="1"/>
    <col min="13" max="13" width="17.42578125" style="2" customWidth="1"/>
    <col min="14" max="14" width="0.85546875" style="2" customWidth="1"/>
    <col min="15" max="15" width="19" style="2" customWidth="1"/>
    <col min="16" max="16" width="19.28515625" style="2" customWidth="1"/>
    <col min="17" max="17" width="17.85546875" style="2" customWidth="1"/>
    <col min="18" max="18" width="11.85546875" style="1" customWidth="1"/>
    <col min="19" max="19" width="9.140625" style="2"/>
    <col min="20" max="20" width="13.140625" style="2" bestFit="1" customWidth="1"/>
    <col min="21" max="16384" width="9.140625" style="2"/>
  </cols>
  <sheetData>
    <row r="1" spans="2:18" ht="18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2:18" ht="20.2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2:18" ht="18">
      <c r="B3" s="61" t="s">
        <v>295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2:18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2:18" ht="24.95" customHeight="1">
      <c r="B5" s="144"/>
      <c r="C5" s="140" t="s">
        <v>4</v>
      </c>
      <c r="D5" s="141"/>
      <c r="E5" s="142"/>
      <c r="F5" s="3"/>
      <c r="G5" s="140" t="s">
        <v>5</v>
      </c>
      <c r="H5" s="141"/>
      <c r="I5" s="142"/>
      <c r="J5" s="4"/>
      <c r="K5" s="140" t="s">
        <v>6</v>
      </c>
      <c r="L5" s="141"/>
      <c r="M5" s="142"/>
      <c r="N5" s="3"/>
      <c r="O5" s="140" t="s">
        <v>7</v>
      </c>
      <c r="P5" s="141"/>
      <c r="Q5" s="143"/>
      <c r="R5" s="127" t="s">
        <v>293</v>
      </c>
    </row>
    <row r="6" spans="2:18" s="8" customFormat="1" ht="28.5" customHeight="1" thickBot="1">
      <c r="B6" s="145"/>
      <c r="C6" s="5" t="s">
        <v>9</v>
      </c>
      <c r="D6" s="6" t="s">
        <v>10</v>
      </c>
      <c r="E6" s="5" t="s">
        <v>11</v>
      </c>
      <c r="F6" s="6"/>
      <c r="G6" s="5" t="s">
        <v>12</v>
      </c>
      <c r="H6" s="6" t="s">
        <v>10</v>
      </c>
      <c r="I6" s="5" t="s">
        <v>11</v>
      </c>
      <c r="J6" s="5"/>
      <c r="K6" s="5" t="s">
        <v>9</v>
      </c>
      <c r="L6" s="6" t="s">
        <v>10</v>
      </c>
      <c r="M6" s="5" t="s">
        <v>11</v>
      </c>
      <c r="N6" s="5"/>
      <c r="O6" s="6" t="s">
        <v>13</v>
      </c>
      <c r="P6" s="6" t="s">
        <v>10</v>
      </c>
      <c r="Q6" s="7" t="s">
        <v>11</v>
      </c>
      <c r="R6" s="128"/>
    </row>
    <row r="7" spans="2:18" ht="24.95" customHeight="1">
      <c r="B7" s="63"/>
      <c r="C7" s="12"/>
      <c r="D7" s="12"/>
      <c r="E7" s="12"/>
      <c r="F7" s="13"/>
      <c r="G7" s="12"/>
      <c r="H7" s="12"/>
      <c r="I7" s="12"/>
      <c r="J7" s="12"/>
      <c r="K7" s="12"/>
      <c r="L7" s="12"/>
      <c r="M7" s="12"/>
      <c r="N7" s="13"/>
      <c r="O7" s="12"/>
      <c r="P7" s="12"/>
      <c r="Q7" s="14"/>
      <c r="R7" s="15"/>
    </row>
    <row r="8" spans="2:18" ht="24.95" customHeight="1">
      <c r="B8" s="63"/>
      <c r="C8" s="12"/>
      <c r="D8" s="12"/>
      <c r="E8" s="12"/>
      <c r="F8" s="13"/>
      <c r="G8" s="12"/>
      <c r="H8" s="12"/>
      <c r="I8" s="12"/>
      <c r="J8" s="12"/>
      <c r="K8" s="12"/>
      <c r="L8" s="12"/>
      <c r="M8" s="12"/>
      <c r="N8" s="16"/>
      <c r="O8" s="12"/>
      <c r="P8" s="12"/>
      <c r="Q8" s="14"/>
      <c r="R8" s="17"/>
    </row>
    <row r="9" spans="2:18" ht="24.95" customHeight="1">
      <c r="B9" s="70" t="s">
        <v>150</v>
      </c>
      <c r="C9" s="12"/>
      <c r="D9" s="12"/>
      <c r="E9" s="12"/>
      <c r="F9" s="13"/>
      <c r="G9" s="12"/>
      <c r="H9" s="12"/>
      <c r="I9" s="12"/>
      <c r="J9" s="12"/>
      <c r="K9" s="12"/>
      <c r="L9" s="12"/>
      <c r="M9" s="12"/>
      <c r="N9" s="13"/>
      <c r="O9" s="12"/>
      <c r="P9" s="12"/>
      <c r="Q9" s="14"/>
      <c r="R9" s="17"/>
    </row>
    <row r="10" spans="2:18" ht="24.95" customHeight="1">
      <c r="B10" s="64" t="s">
        <v>14</v>
      </c>
      <c r="C10" s="12">
        <f>+january!F8</f>
        <v>257463200</v>
      </c>
      <c r="D10" s="12">
        <f>+january!G8</f>
        <v>257355417.69999999</v>
      </c>
      <c r="E10" s="12">
        <f t="shared" ref="E10:E19" si="0">+C10-D10</f>
        <v>107782.30000001192</v>
      </c>
      <c r="F10" s="13"/>
      <c r="G10" s="12">
        <f>+january!J8</f>
        <v>0</v>
      </c>
      <c r="H10" s="12">
        <f>+january!K8</f>
        <v>0</v>
      </c>
      <c r="I10" s="12">
        <f t="shared" ref="I10:I19" si="1">+G10-H10</f>
        <v>0</v>
      </c>
      <c r="J10" s="12"/>
      <c r="K10" s="12">
        <f>+january!N8</f>
        <v>5475213</v>
      </c>
      <c r="L10" s="12">
        <f>+january!O8</f>
        <v>0</v>
      </c>
      <c r="M10" s="12">
        <f t="shared" ref="M10:M19" si="2">+K10-L10</f>
        <v>5475213</v>
      </c>
      <c r="N10" s="13"/>
      <c r="O10" s="12">
        <f t="shared" ref="O10:P19" si="3">+C10+G10+K10</f>
        <v>262938413</v>
      </c>
      <c r="P10" s="12">
        <f t="shared" si="3"/>
        <v>257355417.69999999</v>
      </c>
      <c r="Q10" s="14">
        <f t="shared" ref="Q10:Q19" si="4">+O10-P10</f>
        <v>5582995.3000000119</v>
      </c>
      <c r="R10" s="17">
        <f t="shared" ref="R10:R19" si="5">+P10/O10</f>
        <v>0.97876690881221673</v>
      </c>
    </row>
    <row r="11" spans="2:18" ht="24.95" hidden="1" customHeight="1">
      <c r="B11" s="64" t="s">
        <v>172</v>
      </c>
      <c r="C11" s="12">
        <f>+SUM(january!F13:F17)+SUM(january!F35:F46)</f>
        <v>549933247.89999998</v>
      </c>
      <c r="D11" s="12">
        <f>+SUM(january!G13:G17)+SUM(january!G35:G46)</f>
        <v>396883649.45000005</v>
      </c>
      <c r="E11" s="12">
        <f t="shared" si="0"/>
        <v>153049598.44999993</v>
      </c>
      <c r="F11" s="13"/>
      <c r="G11" s="12">
        <f>+SUM(january!J13:J17)+SUM(january!J35:J46)</f>
        <v>0</v>
      </c>
      <c r="H11" s="12">
        <f>+SUM(january!K13:K17)+SUM(january!K35:K46)</f>
        <v>0</v>
      </c>
      <c r="I11" s="12">
        <f t="shared" si="1"/>
        <v>0</v>
      </c>
      <c r="J11" s="12"/>
      <c r="K11" s="12">
        <f>+SUM(january!N13:N17)+SUM(january!N35:N46)</f>
        <v>1796400</v>
      </c>
      <c r="L11" s="12">
        <f>+SUM(january!O13:O17)+SUM(january!O35:O46)</f>
        <v>0</v>
      </c>
      <c r="M11" s="12">
        <f t="shared" si="2"/>
        <v>1796400</v>
      </c>
      <c r="N11" s="13"/>
      <c r="O11" s="12">
        <f t="shared" si="3"/>
        <v>551729647.89999998</v>
      </c>
      <c r="P11" s="12">
        <f t="shared" si="3"/>
        <v>396883649.45000005</v>
      </c>
      <c r="Q11" s="14">
        <f t="shared" si="4"/>
        <v>154845998.44999993</v>
      </c>
      <c r="R11" s="17">
        <f t="shared" si="5"/>
        <v>0.71934443066567721</v>
      </c>
    </row>
    <row r="12" spans="2:18" ht="24.95" hidden="1" customHeight="1">
      <c r="B12" s="64" t="s">
        <v>170</v>
      </c>
      <c r="C12" s="12">
        <f>+january!F53+SUM(january!F20:F32)</f>
        <v>457650697</v>
      </c>
      <c r="D12" s="12">
        <f>+january!G53+SUM(january!G20:G32)</f>
        <v>361806954.53999996</v>
      </c>
      <c r="E12" s="12">
        <f t="shared" si="0"/>
        <v>95843742.460000038</v>
      </c>
      <c r="F12" s="13"/>
      <c r="G12" s="12">
        <f>+january!J53+SUM(january!J20:J32)</f>
        <v>0</v>
      </c>
      <c r="H12" s="12">
        <f>+january!K53+SUM(january!K20:K32)</f>
        <v>0</v>
      </c>
      <c r="I12" s="12">
        <f t="shared" si="1"/>
        <v>0</v>
      </c>
      <c r="J12" s="12"/>
      <c r="K12" s="12">
        <f>+january!N53+SUM(january!N20:N32)</f>
        <v>73419919</v>
      </c>
      <c r="L12" s="12">
        <f>+january!O53+SUM(january!O20:O32)</f>
        <v>48319636.460000001</v>
      </c>
      <c r="M12" s="12">
        <f t="shared" si="2"/>
        <v>25100282.539999999</v>
      </c>
      <c r="N12" s="13"/>
      <c r="O12" s="12">
        <f t="shared" si="3"/>
        <v>531070616</v>
      </c>
      <c r="P12" s="12">
        <f t="shared" si="3"/>
        <v>410126590.99999994</v>
      </c>
      <c r="Q12" s="14">
        <f t="shared" si="4"/>
        <v>120944025.00000006</v>
      </c>
      <c r="R12" s="17">
        <f t="shared" si="5"/>
        <v>0.77226376049395273</v>
      </c>
    </row>
    <row r="13" spans="2:18" ht="24.95" hidden="1" customHeight="1">
      <c r="B13" s="64" t="s">
        <v>164</v>
      </c>
      <c r="C13" s="12">
        <f>+january!F83</f>
        <v>273811000</v>
      </c>
      <c r="D13" s="12">
        <f>+january!G83</f>
        <v>152586978.09999999</v>
      </c>
      <c r="E13" s="12">
        <f t="shared" si="0"/>
        <v>121224021.90000001</v>
      </c>
      <c r="F13" s="13"/>
      <c r="G13" s="12">
        <f>+january!J83</f>
        <v>0</v>
      </c>
      <c r="H13" s="12">
        <f>+january!K83</f>
        <v>0</v>
      </c>
      <c r="I13" s="12">
        <f t="shared" si="1"/>
        <v>0</v>
      </c>
      <c r="J13" s="12"/>
      <c r="K13" s="12">
        <f>+january!N83</f>
        <v>1123000</v>
      </c>
      <c r="L13" s="12">
        <f>+january!O83</f>
        <v>24643909.890000001</v>
      </c>
      <c r="M13" s="12">
        <f t="shared" si="2"/>
        <v>-23520909.890000001</v>
      </c>
      <c r="N13" s="13"/>
      <c r="O13" s="12">
        <f t="shared" si="3"/>
        <v>274934000</v>
      </c>
      <c r="P13" s="12">
        <f t="shared" si="3"/>
        <v>177230887.99000001</v>
      </c>
      <c r="Q13" s="14">
        <f t="shared" si="4"/>
        <v>97703112.00999999</v>
      </c>
      <c r="R13" s="17">
        <f t="shared" si="5"/>
        <v>0.64463066768751776</v>
      </c>
    </row>
    <row r="14" spans="2:18" ht="24.95" hidden="1" customHeight="1">
      <c r="B14" s="64" t="s">
        <v>165</v>
      </c>
      <c r="C14" s="12">
        <f>+january!F106</f>
        <v>496476996</v>
      </c>
      <c r="D14" s="12">
        <f>+january!G106</f>
        <v>327999472.9600001</v>
      </c>
      <c r="E14" s="12">
        <f t="shared" si="0"/>
        <v>168477523.0399999</v>
      </c>
      <c r="F14" s="13"/>
      <c r="G14" s="12">
        <f>+january!J106</f>
        <v>9712800</v>
      </c>
      <c r="H14" s="12">
        <f>+january!K106</f>
        <v>8221191.4299999997</v>
      </c>
      <c r="I14" s="12">
        <f t="shared" si="1"/>
        <v>1491608.5700000003</v>
      </c>
      <c r="J14" s="12"/>
      <c r="K14" s="12">
        <f>+january!N106</f>
        <v>38433670</v>
      </c>
      <c r="L14" s="12">
        <f>+january!O106</f>
        <v>38252549.890000001</v>
      </c>
      <c r="M14" s="12">
        <f t="shared" si="2"/>
        <v>181120.1099999994</v>
      </c>
      <c r="N14" s="13"/>
      <c r="O14" s="12">
        <f t="shared" si="3"/>
        <v>544623466</v>
      </c>
      <c r="P14" s="12">
        <f t="shared" si="3"/>
        <v>374473214.28000009</v>
      </c>
      <c r="Q14" s="14">
        <f t="shared" si="4"/>
        <v>170150251.71999991</v>
      </c>
      <c r="R14" s="17">
        <f t="shared" si="5"/>
        <v>0.68758185729734989</v>
      </c>
    </row>
    <row r="15" spans="2:18" ht="24.95" hidden="1" customHeight="1">
      <c r="B15" s="64" t="s">
        <v>166</v>
      </c>
      <c r="C15" s="12">
        <f>+january!F49</f>
        <v>10206000</v>
      </c>
      <c r="D15" s="12">
        <f>+january!G49</f>
        <v>10206000</v>
      </c>
      <c r="E15" s="12">
        <f t="shared" si="0"/>
        <v>0</v>
      </c>
      <c r="F15" s="13"/>
      <c r="G15" s="12">
        <f>+january!J49</f>
        <v>0</v>
      </c>
      <c r="H15" s="12">
        <f>+january!K49</f>
        <v>0</v>
      </c>
      <c r="I15" s="12">
        <f t="shared" si="1"/>
        <v>0</v>
      </c>
      <c r="J15" s="12"/>
      <c r="K15" s="12">
        <f>+january!N49</f>
        <v>0</v>
      </c>
      <c r="L15" s="12">
        <f>+january!O49</f>
        <v>0</v>
      </c>
      <c r="M15" s="12">
        <f t="shared" si="2"/>
        <v>0</v>
      </c>
      <c r="N15" s="13"/>
      <c r="O15" s="12">
        <f t="shared" si="3"/>
        <v>10206000</v>
      </c>
      <c r="P15" s="12">
        <f t="shared" si="3"/>
        <v>10206000</v>
      </c>
      <c r="Q15" s="14">
        <f t="shared" si="4"/>
        <v>0</v>
      </c>
      <c r="R15" s="17">
        <f t="shared" si="5"/>
        <v>1</v>
      </c>
    </row>
    <row r="16" spans="2:18" ht="24.95" hidden="1" customHeight="1">
      <c r="B16" s="64" t="s">
        <v>167</v>
      </c>
      <c r="C16" s="12">
        <f>+january!F50</f>
        <v>34810000</v>
      </c>
      <c r="D16" s="12">
        <f>+january!G50</f>
        <v>34672353.909999996</v>
      </c>
      <c r="E16" s="12">
        <f t="shared" si="0"/>
        <v>137646.09000000358</v>
      </c>
      <c r="F16" s="13"/>
      <c r="G16" s="12">
        <f>+january!J50</f>
        <v>0</v>
      </c>
      <c r="H16" s="12">
        <f>+january!K50</f>
        <v>0</v>
      </c>
      <c r="I16" s="12">
        <f t="shared" si="1"/>
        <v>0</v>
      </c>
      <c r="J16" s="12"/>
      <c r="K16" s="12">
        <f>+january!N50</f>
        <v>0</v>
      </c>
      <c r="L16" s="12">
        <f>+january!O50</f>
        <v>0</v>
      </c>
      <c r="M16" s="12">
        <f t="shared" si="2"/>
        <v>0</v>
      </c>
      <c r="N16" s="13"/>
      <c r="O16" s="12">
        <f t="shared" si="3"/>
        <v>34810000</v>
      </c>
      <c r="P16" s="12">
        <f t="shared" si="3"/>
        <v>34672353.909999996</v>
      </c>
      <c r="Q16" s="14">
        <f t="shared" si="4"/>
        <v>137646.09000000358</v>
      </c>
      <c r="R16" s="17">
        <f t="shared" si="5"/>
        <v>0.99604578885377759</v>
      </c>
    </row>
    <row r="17" spans="2:18" ht="24.95" hidden="1" customHeight="1">
      <c r="B17" s="64" t="s">
        <v>168</v>
      </c>
      <c r="C17" s="12">
        <f>+january!F140</f>
        <v>12018000</v>
      </c>
      <c r="D17" s="12">
        <f>+january!G140</f>
        <v>9417074.7200000007</v>
      </c>
      <c r="E17" s="12">
        <f t="shared" si="0"/>
        <v>2600925.2799999993</v>
      </c>
      <c r="F17" s="13"/>
      <c r="G17" s="12">
        <f>+january!J140</f>
        <v>0</v>
      </c>
      <c r="H17" s="12">
        <f>+january!K140</f>
        <v>0</v>
      </c>
      <c r="I17" s="12">
        <f t="shared" si="1"/>
        <v>0</v>
      </c>
      <c r="J17" s="12"/>
      <c r="K17" s="12">
        <f>+january!N140</f>
        <v>0</v>
      </c>
      <c r="L17" s="12">
        <f>+january!O140</f>
        <v>0</v>
      </c>
      <c r="M17" s="12">
        <f t="shared" si="2"/>
        <v>0</v>
      </c>
      <c r="N17" s="13"/>
      <c r="O17" s="12">
        <f t="shared" si="3"/>
        <v>12018000</v>
      </c>
      <c r="P17" s="12">
        <f t="shared" si="3"/>
        <v>9417074.7200000007</v>
      </c>
      <c r="Q17" s="14">
        <f t="shared" si="4"/>
        <v>2600925.2799999993</v>
      </c>
      <c r="R17" s="17">
        <f t="shared" si="5"/>
        <v>0.78358085538359135</v>
      </c>
    </row>
    <row r="18" spans="2:18" ht="24.95" hidden="1" customHeight="1">
      <c r="B18" s="64" t="s">
        <v>169</v>
      </c>
      <c r="C18" s="12">
        <f>+january!F141</f>
        <v>21739000</v>
      </c>
      <c r="D18" s="12">
        <f>+january!G141</f>
        <v>11020908.35</v>
      </c>
      <c r="E18" s="12">
        <f t="shared" si="0"/>
        <v>10718091.65</v>
      </c>
      <c r="F18" s="13"/>
      <c r="G18" s="12">
        <f>+january!J141</f>
        <v>0</v>
      </c>
      <c r="H18" s="12">
        <f>+january!K141</f>
        <v>0</v>
      </c>
      <c r="I18" s="12">
        <f t="shared" si="1"/>
        <v>0</v>
      </c>
      <c r="J18" s="12"/>
      <c r="K18" s="12">
        <f>+january!N141</f>
        <v>0</v>
      </c>
      <c r="L18" s="12">
        <f>+january!O141</f>
        <v>0</v>
      </c>
      <c r="M18" s="12">
        <f t="shared" si="2"/>
        <v>0</v>
      </c>
      <c r="N18" s="13"/>
      <c r="O18" s="12">
        <f t="shared" si="3"/>
        <v>21739000</v>
      </c>
      <c r="P18" s="12">
        <f t="shared" si="3"/>
        <v>11020908.35</v>
      </c>
      <c r="Q18" s="14">
        <f t="shared" si="4"/>
        <v>10718091.65</v>
      </c>
      <c r="R18" s="17">
        <f t="shared" si="5"/>
        <v>0.50696482588895531</v>
      </c>
    </row>
    <row r="19" spans="2:18" ht="24.95" hidden="1" customHeight="1">
      <c r="B19" s="71" t="s">
        <v>171</v>
      </c>
      <c r="C19" s="12">
        <f>SUM(C10:C18)</f>
        <v>2114108140.9000001</v>
      </c>
      <c r="D19" s="12">
        <f>SUM(D10:D18)</f>
        <v>1561948809.73</v>
      </c>
      <c r="E19" s="12">
        <f t="shared" si="0"/>
        <v>552159331.17000008</v>
      </c>
      <c r="F19" s="13"/>
      <c r="G19" s="12">
        <f>SUM(G10:G18)</f>
        <v>9712800</v>
      </c>
      <c r="H19" s="12">
        <f>SUM(H10:H18)</f>
        <v>8221191.4299999997</v>
      </c>
      <c r="I19" s="12">
        <f t="shared" si="1"/>
        <v>1491608.5700000003</v>
      </c>
      <c r="J19" s="12"/>
      <c r="K19" s="12">
        <f>SUM(K10:K18)</f>
        <v>120248202</v>
      </c>
      <c r="L19" s="12">
        <f>SUM(L10:L18)</f>
        <v>111216096.23999999</v>
      </c>
      <c r="M19" s="12">
        <f t="shared" si="2"/>
        <v>9032105.7600000054</v>
      </c>
      <c r="N19" s="13"/>
      <c r="O19" s="12">
        <f t="shared" si="3"/>
        <v>2244069142.9000001</v>
      </c>
      <c r="P19" s="12">
        <f t="shared" si="3"/>
        <v>1681386097.4000001</v>
      </c>
      <c r="Q19" s="14">
        <f t="shared" si="4"/>
        <v>562683045.5</v>
      </c>
      <c r="R19" s="17">
        <f t="shared" si="5"/>
        <v>0.74925770568154271</v>
      </c>
    </row>
    <row r="20" spans="2:18" ht="24.95" hidden="1" customHeight="1">
      <c r="B20" s="64"/>
      <c r="C20" s="12"/>
      <c r="D20" s="12"/>
      <c r="E20" s="12"/>
      <c r="F20" s="13"/>
      <c r="G20" s="12"/>
      <c r="H20" s="12"/>
      <c r="I20" s="12"/>
      <c r="J20" s="12"/>
      <c r="K20" s="12"/>
      <c r="L20" s="12"/>
      <c r="M20" s="12"/>
      <c r="N20" s="13"/>
      <c r="O20" s="12"/>
      <c r="P20" s="12"/>
      <c r="Q20" s="14"/>
      <c r="R20" s="17"/>
    </row>
    <row r="21" spans="2:18" ht="24.95" customHeight="1">
      <c r="B21" s="70" t="s">
        <v>151</v>
      </c>
      <c r="C21" s="12"/>
      <c r="D21" s="12"/>
      <c r="E21" s="12"/>
      <c r="F21" s="13"/>
      <c r="G21" s="12"/>
      <c r="H21" s="12"/>
      <c r="I21" s="12"/>
      <c r="J21" s="12"/>
      <c r="K21" s="12"/>
      <c r="L21" s="12"/>
      <c r="M21" s="12"/>
      <c r="N21" s="13"/>
      <c r="O21" s="12"/>
      <c r="P21" s="12"/>
      <c r="Q21" s="14"/>
      <c r="R21" s="17"/>
    </row>
    <row r="22" spans="2:18" ht="24.95" customHeight="1">
      <c r="B22" s="64" t="s">
        <v>14</v>
      </c>
      <c r="C22" s="12">
        <f>+february!F8</f>
        <v>257485382.09999999</v>
      </c>
      <c r="D22" s="12">
        <f>+february!G8</f>
        <v>257593507.78999999</v>
      </c>
      <c r="E22" s="12">
        <f t="shared" ref="E22:E31" si="6">+C22-D22</f>
        <v>-108125.68999999762</v>
      </c>
      <c r="F22" s="13"/>
      <c r="G22" s="12">
        <f>+february!J8</f>
        <v>0</v>
      </c>
      <c r="H22" s="12">
        <f>+february!K8</f>
        <v>0</v>
      </c>
      <c r="I22" s="12">
        <f t="shared" ref="I22:I31" si="7">+G22-H22</f>
        <v>0</v>
      </c>
      <c r="J22" s="12"/>
      <c r="K22" s="12">
        <f>+february!N8</f>
        <v>2428127</v>
      </c>
      <c r="L22" s="12">
        <f>+february!O8</f>
        <v>5904204.3799999999</v>
      </c>
      <c r="M22" s="12">
        <f t="shared" ref="M22:M31" si="8">+K22-L22</f>
        <v>-3476077.38</v>
      </c>
      <c r="N22" s="13"/>
      <c r="O22" s="12">
        <f t="shared" ref="O22:P31" si="9">+C22+G22+K22</f>
        <v>259913509.09999999</v>
      </c>
      <c r="P22" s="12">
        <f t="shared" si="9"/>
        <v>263497712.16999999</v>
      </c>
      <c r="Q22" s="14">
        <f t="shared" ref="Q22:Q31" si="10">+O22-P22</f>
        <v>-3584203.0699999928</v>
      </c>
      <c r="R22" s="17">
        <f t="shared" ref="R22:R31" si="11">+P22/O22</f>
        <v>1.0137899837619482</v>
      </c>
    </row>
    <row r="23" spans="2:18" ht="24.95" hidden="1" customHeight="1">
      <c r="B23" s="64" t="s">
        <v>172</v>
      </c>
      <c r="C23" s="12">
        <f>+SUM(february!F13:F17)+SUM(february!F35:F46)</f>
        <v>673644193.02999997</v>
      </c>
      <c r="D23" s="12">
        <f>+SUM(february!G13:G17)+SUM(february!G35:G46)</f>
        <v>422595474.15937501</v>
      </c>
      <c r="E23" s="12">
        <f t="shared" si="6"/>
        <v>251048718.87062496</v>
      </c>
      <c r="F23" s="13"/>
      <c r="G23" s="12">
        <f>+SUM(february!J13:J17)+SUM(february!J35:J46)</f>
        <v>12956701.1</v>
      </c>
      <c r="H23" s="12">
        <f>+SUM(february!K13:K17)+SUM(february!K35:K46)</f>
        <v>12902016.689999999</v>
      </c>
      <c r="I23" s="12">
        <f t="shared" si="7"/>
        <v>54684.410000000149</v>
      </c>
      <c r="J23" s="12"/>
      <c r="K23" s="12">
        <f>+SUM(february!N13:N17)+SUM(february!N35:N46)</f>
        <v>8315745</v>
      </c>
      <c r="L23" s="12">
        <f>+SUM(february!O13:O17)+SUM(february!O35:O46)</f>
        <v>5024199.01</v>
      </c>
      <c r="M23" s="12">
        <f t="shared" si="8"/>
        <v>3291545.99</v>
      </c>
      <c r="N23" s="13"/>
      <c r="O23" s="12">
        <f t="shared" si="9"/>
        <v>694916639.13</v>
      </c>
      <c r="P23" s="12">
        <f t="shared" si="9"/>
        <v>440521689.859375</v>
      </c>
      <c r="Q23" s="14">
        <f t="shared" si="10"/>
        <v>254394949.270625</v>
      </c>
      <c r="R23" s="17">
        <f t="shared" si="11"/>
        <v>0.63392019280310452</v>
      </c>
    </row>
    <row r="24" spans="2:18" ht="24.95" hidden="1" customHeight="1">
      <c r="B24" s="64" t="s">
        <v>170</v>
      </c>
      <c r="C24" s="12">
        <f>+february!F53+SUM(february!F20:F32)</f>
        <v>592633562</v>
      </c>
      <c r="D24" s="12">
        <f>+february!G53+SUM(february!G20:G32)</f>
        <v>486407716.30000001</v>
      </c>
      <c r="E24" s="12">
        <f t="shared" si="6"/>
        <v>106225845.69999999</v>
      </c>
      <c r="F24" s="13"/>
      <c r="G24" s="12">
        <f>+february!J53+SUM(february!J20:J32)</f>
        <v>33036092</v>
      </c>
      <c r="H24" s="12">
        <f>+february!K53+SUM(february!K20:K32)</f>
        <v>5549029.54</v>
      </c>
      <c r="I24" s="12">
        <f t="shared" si="7"/>
        <v>27487062.460000001</v>
      </c>
      <c r="J24" s="12"/>
      <c r="K24" s="12">
        <f>+february!N53+SUM(february!N20:N32)</f>
        <v>190884491</v>
      </c>
      <c r="L24" s="12">
        <f>+february!O53+SUM(february!O20:O32)</f>
        <v>88410294.260000005</v>
      </c>
      <c r="M24" s="12">
        <f t="shared" si="8"/>
        <v>102474196.73999999</v>
      </c>
      <c r="N24" s="13"/>
      <c r="O24" s="12">
        <f t="shared" si="9"/>
        <v>816554145</v>
      </c>
      <c r="P24" s="12">
        <f t="shared" si="9"/>
        <v>580367040.10000002</v>
      </c>
      <c r="Q24" s="14">
        <f t="shared" si="10"/>
        <v>236187104.89999998</v>
      </c>
      <c r="R24" s="17">
        <f t="shared" si="11"/>
        <v>0.71075144698457204</v>
      </c>
    </row>
    <row r="25" spans="2:18" ht="24.95" hidden="1" customHeight="1">
      <c r="B25" s="64" t="s">
        <v>164</v>
      </c>
      <c r="C25" s="12">
        <f>+february!F83</f>
        <v>320618124.69</v>
      </c>
      <c r="D25" s="12">
        <f>+february!G83</f>
        <v>280681611.62</v>
      </c>
      <c r="E25" s="12">
        <f t="shared" si="6"/>
        <v>39936513.069999993</v>
      </c>
      <c r="F25" s="13"/>
      <c r="G25" s="12">
        <f>+february!J83</f>
        <v>87105913</v>
      </c>
      <c r="H25" s="12">
        <f>+february!K83</f>
        <v>87105913</v>
      </c>
      <c r="I25" s="12">
        <f t="shared" si="7"/>
        <v>0</v>
      </c>
      <c r="J25" s="12"/>
      <c r="K25" s="12">
        <f>+february!N83</f>
        <v>9730925.0800000001</v>
      </c>
      <c r="L25" s="12">
        <f>+february!O83</f>
        <v>28175924.429999996</v>
      </c>
      <c r="M25" s="12">
        <f t="shared" si="8"/>
        <v>-18444999.349999994</v>
      </c>
      <c r="N25" s="13"/>
      <c r="O25" s="12">
        <f t="shared" si="9"/>
        <v>417454962.76999998</v>
      </c>
      <c r="P25" s="12">
        <f t="shared" si="9"/>
        <v>395963449.05000001</v>
      </c>
      <c r="Q25" s="14">
        <f t="shared" si="10"/>
        <v>21491513.719999969</v>
      </c>
      <c r="R25" s="17">
        <f t="shared" si="11"/>
        <v>0.94851776685706601</v>
      </c>
    </row>
    <row r="26" spans="2:18" ht="24.95" hidden="1" customHeight="1">
      <c r="B26" s="64" t="s">
        <v>165</v>
      </c>
      <c r="C26" s="12">
        <f>february!F106</f>
        <v>468720799</v>
      </c>
      <c r="D26" s="12">
        <f>february!G106</f>
        <v>330335786.69</v>
      </c>
      <c r="E26" s="12">
        <f t="shared" si="6"/>
        <v>138385012.31</v>
      </c>
      <c r="F26" s="13"/>
      <c r="G26" s="12">
        <f>february!J106</f>
        <v>6880911.7999999998</v>
      </c>
      <c r="H26" s="12">
        <f>february!K106</f>
        <v>6343738.5599999996</v>
      </c>
      <c r="I26" s="12">
        <f t="shared" si="7"/>
        <v>537173.24000000022</v>
      </c>
      <c r="J26" s="12"/>
      <c r="K26" s="12">
        <f>february!N106</f>
        <v>5219971</v>
      </c>
      <c r="L26" s="12">
        <f>february!O106</f>
        <v>3723668.26</v>
      </c>
      <c r="M26" s="12">
        <f t="shared" si="8"/>
        <v>1496302.7400000002</v>
      </c>
      <c r="N26" s="13"/>
      <c r="O26" s="12">
        <f t="shared" si="9"/>
        <v>480821681.80000001</v>
      </c>
      <c r="P26" s="12">
        <f t="shared" si="9"/>
        <v>340403193.50999999</v>
      </c>
      <c r="Q26" s="14">
        <f t="shared" si="10"/>
        <v>140418488.29000002</v>
      </c>
      <c r="R26" s="17">
        <f t="shared" si="11"/>
        <v>0.70796140522546624</v>
      </c>
    </row>
    <row r="27" spans="2:18" ht="24.95" hidden="1" customHeight="1">
      <c r="B27" s="64" t="s">
        <v>166</v>
      </c>
      <c r="C27" s="12">
        <f>+february!F49</f>
        <v>10207000</v>
      </c>
      <c r="D27" s="12">
        <f>+february!G49</f>
        <v>10207000</v>
      </c>
      <c r="E27" s="12">
        <f t="shared" si="6"/>
        <v>0</v>
      </c>
      <c r="F27" s="13"/>
      <c r="G27" s="12">
        <f>+february!J49</f>
        <v>0</v>
      </c>
      <c r="H27" s="12">
        <f>+february!K49</f>
        <v>0</v>
      </c>
      <c r="I27" s="12">
        <f t="shared" si="7"/>
        <v>0</v>
      </c>
      <c r="J27" s="12"/>
      <c r="K27" s="12">
        <f>+february!N49</f>
        <v>0</v>
      </c>
      <c r="L27" s="12">
        <f>+february!O49</f>
        <v>0</v>
      </c>
      <c r="M27" s="12">
        <f t="shared" si="8"/>
        <v>0</v>
      </c>
      <c r="N27" s="13"/>
      <c r="O27" s="12">
        <f t="shared" si="9"/>
        <v>10207000</v>
      </c>
      <c r="P27" s="12">
        <f t="shared" si="9"/>
        <v>10207000</v>
      </c>
      <c r="Q27" s="14">
        <f t="shared" si="10"/>
        <v>0</v>
      </c>
      <c r="R27" s="17">
        <f t="shared" si="11"/>
        <v>1</v>
      </c>
    </row>
    <row r="28" spans="2:18" ht="24.95" hidden="1" customHeight="1">
      <c r="B28" s="64" t="s">
        <v>167</v>
      </c>
      <c r="C28" s="12">
        <f>+february!F50</f>
        <v>36836000</v>
      </c>
      <c r="D28" s="12">
        <f>+february!G50</f>
        <v>20921610.949999999</v>
      </c>
      <c r="E28" s="12">
        <f t="shared" si="6"/>
        <v>15914389.050000001</v>
      </c>
      <c r="F28" s="13"/>
      <c r="G28" s="12">
        <f>+february!J50</f>
        <v>0</v>
      </c>
      <c r="H28" s="12">
        <f>+february!K50</f>
        <v>0</v>
      </c>
      <c r="I28" s="12">
        <f t="shared" si="7"/>
        <v>0</v>
      </c>
      <c r="J28" s="12"/>
      <c r="K28" s="12">
        <f>+february!N50</f>
        <v>0</v>
      </c>
      <c r="L28" s="12">
        <f>+february!O50</f>
        <v>0</v>
      </c>
      <c r="M28" s="12">
        <f t="shared" si="8"/>
        <v>0</v>
      </c>
      <c r="N28" s="13"/>
      <c r="O28" s="12">
        <f t="shared" si="9"/>
        <v>36836000</v>
      </c>
      <c r="P28" s="12">
        <f t="shared" si="9"/>
        <v>20921610.949999999</v>
      </c>
      <c r="Q28" s="14">
        <f t="shared" si="10"/>
        <v>15914389.050000001</v>
      </c>
      <c r="R28" s="17">
        <f t="shared" si="11"/>
        <v>0.56796641736344877</v>
      </c>
    </row>
    <row r="29" spans="2:18" ht="24.95" hidden="1" customHeight="1">
      <c r="B29" s="64" t="s">
        <v>168</v>
      </c>
      <c r="C29" s="12">
        <f>+february!F140</f>
        <v>16660000</v>
      </c>
      <c r="D29" s="12">
        <f>+february!G140</f>
        <v>9349987.5600000005</v>
      </c>
      <c r="E29" s="12">
        <f t="shared" si="6"/>
        <v>7310012.4399999995</v>
      </c>
      <c r="F29" s="13"/>
      <c r="G29" s="12">
        <f>+february!J140</f>
        <v>0</v>
      </c>
      <c r="H29" s="12">
        <f>+february!K140</f>
        <v>0</v>
      </c>
      <c r="I29" s="12">
        <f t="shared" si="7"/>
        <v>0</v>
      </c>
      <c r="J29" s="12"/>
      <c r="K29" s="12">
        <f>+february!N140</f>
        <v>0</v>
      </c>
      <c r="L29" s="12">
        <f>+february!O140</f>
        <v>0</v>
      </c>
      <c r="M29" s="12">
        <f t="shared" si="8"/>
        <v>0</v>
      </c>
      <c r="N29" s="13"/>
      <c r="O29" s="12">
        <f t="shared" si="9"/>
        <v>16660000</v>
      </c>
      <c r="P29" s="12">
        <f t="shared" si="9"/>
        <v>9349987.5600000005</v>
      </c>
      <c r="Q29" s="14">
        <f t="shared" si="10"/>
        <v>7310012.4399999995</v>
      </c>
      <c r="R29" s="17">
        <f t="shared" si="11"/>
        <v>0.56122374309723888</v>
      </c>
    </row>
    <row r="30" spans="2:18" ht="24.95" hidden="1" customHeight="1">
      <c r="B30" s="64" t="s">
        <v>169</v>
      </c>
      <c r="C30" s="12">
        <f>+february!F141</f>
        <v>25190000</v>
      </c>
      <c r="D30" s="12">
        <f>+february!G141</f>
        <v>16649754.49</v>
      </c>
      <c r="E30" s="12">
        <f t="shared" si="6"/>
        <v>8540245.5099999998</v>
      </c>
      <c r="F30" s="13"/>
      <c r="G30" s="12">
        <f>+february!J141</f>
        <v>0</v>
      </c>
      <c r="H30" s="12">
        <f>+february!K141</f>
        <v>0</v>
      </c>
      <c r="I30" s="12">
        <f t="shared" si="7"/>
        <v>0</v>
      </c>
      <c r="J30" s="12"/>
      <c r="K30" s="12">
        <f>+february!N141</f>
        <v>0</v>
      </c>
      <c r="L30" s="12">
        <f>+february!O141</f>
        <v>0</v>
      </c>
      <c r="M30" s="12">
        <f t="shared" si="8"/>
        <v>0</v>
      </c>
      <c r="N30" s="13"/>
      <c r="O30" s="12">
        <f t="shared" si="9"/>
        <v>25190000</v>
      </c>
      <c r="P30" s="12">
        <f t="shared" si="9"/>
        <v>16649754.49</v>
      </c>
      <c r="Q30" s="14">
        <f t="shared" si="10"/>
        <v>8540245.5099999998</v>
      </c>
      <c r="R30" s="17">
        <f t="shared" si="11"/>
        <v>0.66096683167923775</v>
      </c>
    </row>
    <row r="31" spans="2:18" ht="24.95" hidden="1" customHeight="1">
      <c r="B31" s="71" t="s">
        <v>173</v>
      </c>
      <c r="C31" s="12">
        <f>SUM(C22:C30)</f>
        <v>2401995060.8200002</v>
      </c>
      <c r="D31" s="12">
        <f>SUM(D22:D30)</f>
        <v>1834742449.5593753</v>
      </c>
      <c r="E31" s="12">
        <f t="shared" si="6"/>
        <v>567252611.26062489</v>
      </c>
      <c r="F31" s="13"/>
      <c r="G31" s="12">
        <f>SUM(G22:G30)</f>
        <v>139979617.90000001</v>
      </c>
      <c r="H31" s="12">
        <f>SUM(H22:H30)</f>
        <v>111900697.79000001</v>
      </c>
      <c r="I31" s="12">
        <f t="shared" si="7"/>
        <v>28078920.109999999</v>
      </c>
      <c r="J31" s="12"/>
      <c r="K31" s="12">
        <f>SUM(K22:K30)</f>
        <v>216579259.08000001</v>
      </c>
      <c r="L31" s="12">
        <f>SUM(L22:L30)</f>
        <v>131238290.34</v>
      </c>
      <c r="M31" s="12">
        <f t="shared" si="8"/>
        <v>85340968.74000001</v>
      </c>
      <c r="N31" s="13"/>
      <c r="O31" s="12">
        <f t="shared" si="9"/>
        <v>2758553937.8000002</v>
      </c>
      <c r="P31" s="12">
        <f t="shared" si="9"/>
        <v>2077881437.6893752</v>
      </c>
      <c r="Q31" s="14">
        <f t="shared" si="10"/>
        <v>680672500.11062503</v>
      </c>
      <c r="R31" s="17">
        <f t="shared" si="11"/>
        <v>0.75325024797105311</v>
      </c>
    </row>
    <row r="32" spans="2:18" ht="24.95" hidden="1" customHeight="1">
      <c r="B32" s="63"/>
      <c r="C32" s="12"/>
      <c r="D32" s="12"/>
      <c r="E32" s="12"/>
      <c r="F32" s="13"/>
      <c r="G32" s="12"/>
      <c r="H32" s="12"/>
      <c r="I32" s="12"/>
      <c r="J32" s="12"/>
      <c r="K32" s="12"/>
      <c r="L32" s="12"/>
      <c r="M32" s="12"/>
      <c r="N32" s="13"/>
      <c r="O32" s="12"/>
      <c r="P32" s="12"/>
      <c r="Q32" s="14"/>
      <c r="R32" s="17"/>
    </row>
    <row r="33" spans="2:18" ht="24.95" customHeight="1">
      <c r="B33" s="70" t="s">
        <v>152</v>
      </c>
      <c r="C33" s="12"/>
      <c r="D33" s="12"/>
      <c r="E33" s="12"/>
      <c r="F33" s="13"/>
      <c r="G33" s="12"/>
      <c r="H33" s="12"/>
      <c r="I33" s="12"/>
      <c r="J33" s="12"/>
      <c r="K33" s="12"/>
      <c r="L33" s="12"/>
      <c r="M33" s="12"/>
      <c r="N33" s="13"/>
      <c r="O33" s="12"/>
      <c r="P33" s="12"/>
      <c r="Q33" s="14"/>
      <c r="R33" s="17"/>
    </row>
    <row r="34" spans="2:18" ht="24.95" customHeight="1">
      <c r="B34" s="64" t="s">
        <v>14</v>
      </c>
      <c r="C34" s="12">
        <f>+march!F8</f>
        <v>635138493.24000001</v>
      </c>
      <c r="D34" s="12">
        <f>+march!G8</f>
        <v>635139123.78999996</v>
      </c>
      <c r="E34" s="12">
        <f t="shared" ref="E34:E43" si="12">+C34-D34</f>
        <v>-630.54999995231628</v>
      </c>
      <c r="F34" s="13"/>
      <c r="G34" s="12">
        <f>+march!J8</f>
        <v>0</v>
      </c>
      <c r="H34" s="12">
        <f>+march!K8</f>
        <v>0</v>
      </c>
      <c r="I34" s="12">
        <f t="shared" ref="I34:I43" si="13">+G34-H34</f>
        <v>0</v>
      </c>
      <c r="J34" s="12"/>
      <c r="K34" s="12">
        <f>+march!N8</f>
        <v>768941</v>
      </c>
      <c r="L34" s="12">
        <f>+march!O8</f>
        <v>525246.63</v>
      </c>
      <c r="M34" s="12">
        <f t="shared" ref="M34:M43" si="14">+K34-L34</f>
        <v>243694.37</v>
      </c>
      <c r="N34" s="13"/>
      <c r="O34" s="12">
        <f t="shared" ref="O34:P43" si="15">+C34+G34+K34</f>
        <v>635907434.24000001</v>
      </c>
      <c r="P34" s="12">
        <f t="shared" si="15"/>
        <v>635664370.41999996</v>
      </c>
      <c r="Q34" s="14">
        <f t="shared" ref="Q34:Q43" si="16">+O34-P34</f>
        <v>243063.82000005245</v>
      </c>
      <c r="R34" s="17">
        <f t="shared" ref="R34:R43" si="17">+P34/O34</f>
        <v>0.99961776855103046</v>
      </c>
    </row>
    <row r="35" spans="2:18" ht="24.95" hidden="1" customHeight="1">
      <c r="B35" s="64" t="s">
        <v>172</v>
      </c>
      <c r="C35" s="12">
        <f>+SUM(march!F13:F17)+SUM(march!F35:F46)</f>
        <v>666811262.63999999</v>
      </c>
      <c r="D35" s="12">
        <f>+SUM(march!G13:G17)+SUM(march!G35:G46)</f>
        <v>623893057.07999992</v>
      </c>
      <c r="E35" s="12">
        <f t="shared" si="12"/>
        <v>42918205.560000062</v>
      </c>
      <c r="F35" s="13"/>
      <c r="G35" s="12">
        <f>+SUM(march!J13:J17)+SUM(march!J35:J46)</f>
        <v>0</v>
      </c>
      <c r="H35" s="12">
        <f>+SUM(march!K13:K17)+SUM(march!K35:K46)</f>
        <v>0</v>
      </c>
      <c r="I35" s="12">
        <f t="shared" si="13"/>
        <v>0</v>
      </c>
      <c r="J35" s="12"/>
      <c r="K35" s="12">
        <f>+SUM(march!N13:N17)+SUM(march!N35:N46)</f>
        <v>3838196</v>
      </c>
      <c r="L35" s="12">
        <f>+SUM(march!O13:O17)+SUM(march!O35:O46)</f>
        <v>13208891.91</v>
      </c>
      <c r="M35" s="12">
        <f t="shared" si="14"/>
        <v>-9370695.9100000001</v>
      </c>
      <c r="N35" s="13"/>
      <c r="O35" s="12">
        <f t="shared" si="15"/>
        <v>670649458.63999999</v>
      </c>
      <c r="P35" s="12">
        <f t="shared" si="15"/>
        <v>637101948.98999989</v>
      </c>
      <c r="Q35" s="14">
        <f t="shared" si="16"/>
        <v>33547509.650000095</v>
      </c>
      <c r="R35" s="17">
        <f t="shared" si="17"/>
        <v>0.94997757887103851</v>
      </c>
    </row>
    <row r="36" spans="2:18" ht="24.95" hidden="1" customHeight="1">
      <c r="B36" s="64" t="s">
        <v>170</v>
      </c>
      <c r="C36" s="12">
        <f>+march!F53+SUM(march!F20:F32)</f>
        <v>633834772</v>
      </c>
      <c r="D36" s="12">
        <f>+march!G53+SUM(march!G20:G32)</f>
        <v>674793386.26999998</v>
      </c>
      <c r="E36" s="12">
        <f t="shared" si="12"/>
        <v>-40958614.269999981</v>
      </c>
      <c r="F36" s="13"/>
      <c r="G36" s="12">
        <f>+march!J53+SUM(march!J20:J32)</f>
        <v>88845784</v>
      </c>
      <c r="H36" s="12">
        <f>+march!K53+SUM(march!K20:K32)</f>
        <v>116331050.34999999</v>
      </c>
      <c r="I36" s="12">
        <f t="shared" si="13"/>
        <v>-27485266.349999994</v>
      </c>
      <c r="J36" s="12"/>
      <c r="K36" s="12">
        <f>+march!N53+SUM(march!N20:N32)</f>
        <v>194876456.26999998</v>
      </c>
      <c r="L36" s="12">
        <f>+march!O53+SUM(march!O20:O32)</f>
        <v>234756452.70999998</v>
      </c>
      <c r="M36" s="12">
        <f t="shared" si="14"/>
        <v>-39879996.439999998</v>
      </c>
      <c r="N36" s="13"/>
      <c r="O36" s="12">
        <f t="shared" si="15"/>
        <v>917557012.26999998</v>
      </c>
      <c r="P36" s="12">
        <f t="shared" si="15"/>
        <v>1025880889.3299999</v>
      </c>
      <c r="Q36" s="14">
        <f t="shared" si="16"/>
        <v>-108323877.05999994</v>
      </c>
      <c r="R36" s="17">
        <f t="shared" si="17"/>
        <v>1.1180568352826501</v>
      </c>
    </row>
    <row r="37" spans="2:18" ht="24.95" hidden="1" customHeight="1">
      <c r="B37" s="64" t="s">
        <v>164</v>
      </c>
      <c r="C37" s="12">
        <f>+march!F83</f>
        <v>337122409.44999999</v>
      </c>
      <c r="D37" s="12">
        <f>+march!G83</f>
        <v>369966090.08999991</v>
      </c>
      <c r="E37" s="12">
        <f t="shared" si="12"/>
        <v>-32843680.639999926</v>
      </c>
      <c r="F37" s="13"/>
      <c r="G37" s="12">
        <f>+march!J83</f>
        <v>128000000</v>
      </c>
      <c r="H37" s="12">
        <f>+march!K83</f>
        <v>128000000</v>
      </c>
      <c r="I37" s="12">
        <f t="shared" si="13"/>
        <v>0</v>
      </c>
      <c r="J37" s="12"/>
      <c r="K37" s="12">
        <f>+march!N83</f>
        <v>9984935.6400000006</v>
      </c>
      <c r="L37" s="12">
        <f>+march!O83</f>
        <v>66535023.449999996</v>
      </c>
      <c r="M37" s="12">
        <f t="shared" si="14"/>
        <v>-56550087.809999995</v>
      </c>
      <c r="N37" s="13"/>
      <c r="O37" s="12">
        <f t="shared" si="15"/>
        <v>475107345.08999997</v>
      </c>
      <c r="P37" s="12">
        <f t="shared" si="15"/>
        <v>564501113.53999996</v>
      </c>
      <c r="Q37" s="14">
        <f t="shared" si="16"/>
        <v>-89393768.449999988</v>
      </c>
      <c r="R37" s="17">
        <f t="shared" si="17"/>
        <v>1.1881548862038032</v>
      </c>
    </row>
    <row r="38" spans="2:18" ht="24.95" hidden="1" customHeight="1">
      <c r="B38" s="64" t="s">
        <v>165</v>
      </c>
      <c r="C38" s="12">
        <f>march!F106</f>
        <v>498211168.65999997</v>
      </c>
      <c r="D38" s="12">
        <f>march!G106</f>
        <v>548769526.99000001</v>
      </c>
      <c r="E38" s="12">
        <f t="shared" si="12"/>
        <v>-50558358.330000043</v>
      </c>
      <c r="F38" s="13"/>
      <c r="G38" s="12">
        <f>march!J106</f>
        <v>53711139.259999998</v>
      </c>
      <c r="H38" s="12">
        <f>march!K106</f>
        <v>67461349.25</v>
      </c>
      <c r="I38" s="12">
        <f t="shared" si="13"/>
        <v>-13750209.990000002</v>
      </c>
      <c r="J38" s="12"/>
      <c r="K38" s="12">
        <f>march!N106</f>
        <v>49753188.799999997</v>
      </c>
      <c r="L38" s="12">
        <f>march!O106</f>
        <v>50526866.159999989</v>
      </c>
      <c r="M38" s="12">
        <f t="shared" si="14"/>
        <v>-773677.35999999195</v>
      </c>
      <c r="N38" s="13"/>
      <c r="O38" s="12">
        <f t="shared" si="15"/>
        <v>601675496.71999991</v>
      </c>
      <c r="P38" s="12">
        <f t="shared" si="15"/>
        <v>666757742.39999998</v>
      </c>
      <c r="Q38" s="14">
        <f t="shared" si="16"/>
        <v>-65082245.680000067</v>
      </c>
      <c r="R38" s="17">
        <f t="shared" si="17"/>
        <v>1.1081683499407775</v>
      </c>
    </row>
    <row r="39" spans="2:18" ht="24.95" hidden="1" customHeight="1">
      <c r="B39" s="64" t="s">
        <v>166</v>
      </c>
      <c r="C39" s="12">
        <f>+march!F49</f>
        <v>11825000</v>
      </c>
      <c r="D39" s="12">
        <f>+march!G49</f>
        <v>11824806.1</v>
      </c>
      <c r="E39" s="12">
        <f t="shared" si="12"/>
        <v>193.90000000037253</v>
      </c>
      <c r="F39" s="13"/>
      <c r="G39" s="12">
        <f>+march!J49</f>
        <v>0</v>
      </c>
      <c r="H39" s="12">
        <f>+march!K49</f>
        <v>0</v>
      </c>
      <c r="I39" s="12">
        <f t="shared" si="13"/>
        <v>0</v>
      </c>
      <c r="J39" s="12"/>
      <c r="K39" s="12">
        <f>+march!N49</f>
        <v>0</v>
      </c>
      <c r="L39" s="12">
        <f>+march!O49</f>
        <v>0</v>
      </c>
      <c r="M39" s="12">
        <f t="shared" si="14"/>
        <v>0</v>
      </c>
      <c r="N39" s="13"/>
      <c r="O39" s="12">
        <f t="shared" si="15"/>
        <v>11825000</v>
      </c>
      <c r="P39" s="12">
        <f t="shared" si="15"/>
        <v>11824806.1</v>
      </c>
      <c r="Q39" s="14">
        <f t="shared" si="16"/>
        <v>193.90000000037253</v>
      </c>
      <c r="R39" s="17">
        <f t="shared" si="17"/>
        <v>0.99998360253699781</v>
      </c>
    </row>
    <row r="40" spans="2:18" ht="24.95" hidden="1" customHeight="1">
      <c r="B40" s="64" t="s">
        <v>167</v>
      </c>
      <c r="C40" s="12">
        <f>+march!F50</f>
        <v>39720000</v>
      </c>
      <c r="D40" s="12">
        <f>+march!G50</f>
        <v>22928499.969999999</v>
      </c>
      <c r="E40" s="12">
        <f t="shared" si="12"/>
        <v>16791500.030000001</v>
      </c>
      <c r="F40" s="13"/>
      <c r="G40" s="12">
        <f>+march!J50</f>
        <v>0</v>
      </c>
      <c r="H40" s="12">
        <f>+march!K50</f>
        <v>0</v>
      </c>
      <c r="I40" s="12">
        <f t="shared" si="13"/>
        <v>0</v>
      </c>
      <c r="J40" s="12"/>
      <c r="K40" s="12">
        <f>+march!N50</f>
        <v>0</v>
      </c>
      <c r="L40" s="12">
        <f>+march!O50</f>
        <v>0</v>
      </c>
      <c r="M40" s="12">
        <f t="shared" si="14"/>
        <v>0</v>
      </c>
      <c r="N40" s="13"/>
      <c r="O40" s="12">
        <f t="shared" si="15"/>
        <v>39720000</v>
      </c>
      <c r="P40" s="12">
        <f t="shared" si="15"/>
        <v>22928499.969999999</v>
      </c>
      <c r="Q40" s="14">
        <f t="shared" si="16"/>
        <v>16791500.030000001</v>
      </c>
      <c r="R40" s="17">
        <f t="shared" si="17"/>
        <v>0.57725327215508559</v>
      </c>
    </row>
    <row r="41" spans="2:18" ht="24.95" hidden="1" customHeight="1">
      <c r="B41" s="64" t="s">
        <v>168</v>
      </c>
      <c r="C41" s="12">
        <f>+march!F140</f>
        <v>40095000</v>
      </c>
      <c r="D41" s="12">
        <f>+march!G140</f>
        <v>15755126.16</v>
      </c>
      <c r="E41" s="12">
        <f t="shared" si="12"/>
        <v>24339873.84</v>
      </c>
      <c r="F41" s="13"/>
      <c r="G41" s="12">
        <f>+march!J140</f>
        <v>0</v>
      </c>
      <c r="H41" s="12">
        <f>+march!K140</f>
        <v>0</v>
      </c>
      <c r="I41" s="12">
        <f t="shared" si="13"/>
        <v>0</v>
      </c>
      <c r="J41" s="12"/>
      <c r="K41" s="12">
        <f>+march!N140</f>
        <v>0</v>
      </c>
      <c r="L41" s="12">
        <f>+march!O140</f>
        <v>0</v>
      </c>
      <c r="M41" s="12">
        <f t="shared" si="14"/>
        <v>0</v>
      </c>
      <c r="N41" s="13"/>
      <c r="O41" s="12">
        <f t="shared" si="15"/>
        <v>40095000</v>
      </c>
      <c r="P41" s="12">
        <f t="shared" si="15"/>
        <v>15755126.16</v>
      </c>
      <c r="Q41" s="14">
        <f t="shared" si="16"/>
        <v>24339873.84</v>
      </c>
      <c r="R41" s="17">
        <f t="shared" si="17"/>
        <v>0.39294490983913205</v>
      </c>
    </row>
    <row r="42" spans="2:18" ht="24.95" hidden="1" customHeight="1">
      <c r="B42" s="64" t="s">
        <v>169</v>
      </c>
      <c r="C42" s="12">
        <f>+march!F141</f>
        <v>24245000</v>
      </c>
      <c r="D42" s="12">
        <f>+march!G141</f>
        <v>25021231.989999998</v>
      </c>
      <c r="E42" s="12">
        <f t="shared" si="12"/>
        <v>-776231.98999999836</v>
      </c>
      <c r="F42" s="13"/>
      <c r="G42" s="12">
        <f>+march!J141</f>
        <v>0</v>
      </c>
      <c r="H42" s="12">
        <f>+march!K141</f>
        <v>0</v>
      </c>
      <c r="I42" s="12">
        <f t="shared" si="13"/>
        <v>0</v>
      </c>
      <c r="J42" s="12"/>
      <c r="K42" s="12">
        <f>+march!N141</f>
        <v>7985</v>
      </c>
      <c r="L42" s="12">
        <f>+march!O141</f>
        <v>7985</v>
      </c>
      <c r="M42" s="12">
        <f t="shared" si="14"/>
        <v>0</v>
      </c>
      <c r="N42" s="13"/>
      <c r="O42" s="12">
        <f t="shared" si="15"/>
        <v>24252985</v>
      </c>
      <c r="P42" s="12">
        <f t="shared" si="15"/>
        <v>25029216.989999998</v>
      </c>
      <c r="Q42" s="14">
        <f t="shared" si="16"/>
        <v>-776231.98999999836</v>
      </c>
      <c r="R42" s="17">
        <f t="shared" si="17"/>
        <v>1.0320056269362308</v>
      </c>
    </row>
    <row r="43" spans="2:18" ht="24.95" hidden="1" customHeight="1">
      <c r="B43" s="71" t="s">
        <v>174</v>
      </c>
      <c r="C43" s="12">
        <f>SUM(C34:C42)</f>
        <v>2887003105.9899998</v>
      </c>
      <c r="D43" s="12">
        <f>SUM(D34:D42)</f>
        <v>2928090848.4399986</v>
      </c>
      <c r="E43" s="12">
        <f t="shared" si="12"/>
        <v>-41087742.449998856</v>
      </c>
      <c r="F43" s="13"/>
      <c r="G43" s="12">
        <f>SUM(G34:G42)</f>
        <v>270556923.25999999</v>
      </c>
      <c r="H43" s="12">
        <f>SUM(H34:H42)</f>
        <v>311792399.60000002</v>
      </c>
      <c r="I43" s="12">
        <f t="shared" si="13"/>
        <v>-41235476.340000033</v>
      </c>
      <c r="J43" s="12"/>
      <c r="K43" s="12">
        <f>SUM(K34:K42)</f>
        <v>259229702.70999998</v>
      </c>
      <c r="L43" s="12">
        <f>SUM(L34:L42)</f>
        <v>365560465.85999995</v>
      </c>
      <c r="M43" s="12">
        <f t="shared" si="14"/>
        <v>-106330763.14999998</v>
      </c>
      <c r="N43" s="13"/>
      <c r="O43" s="12">
        <f t="shared" si="15"/>
        <v>3416789731.96</v>
      </c>
      <c r="P43" s="12">
        <f t="shared" si="15"/>
        <v>3605443713.8999987</v>
      </c>
      <c r="Q43" s="14">
        <f t="shared" si="16"/>
        <v>-188653981.93999863</v>
      </c>
      <c r="R43" s="17">
        <f t="shared" si="17"/>
        <v>1.055213810839855</v>
      </c>
    </row>
    <row r="44" spans="2:18" ht="24.95" hidden="1" customHeight="1">
      <c r="B44" s="18"/>
      <c r="C44" s="12"/>
      <c r="D44" s="12"/>
      <c r="E44" s="12"/>
      <c r="F44" s="13"/>
      <c r="G44" s="12"/>
      <c r="H44" s="12"/>
      <c r="I44" s="12"/>
      <c r="J44" s="12"/>
      <c r="K44" s="12"/>
      <c r="L44" s="12"/>
      <c r="M44" s="12"/>
      <c r="N44" s="13"/>
      <c r="O44" s="12"/>
      <c r="P44" s="12"/>
      <c r="Q44" s="14"/>
      <c r="R44" s="17"/>
    </row>
    <row r="45" spans="2:18" ht="24.95" customHeight="1">
      <c r="B45" s="73" t="s">
        <v>179</v>
      </c>
      <c r="C45" s="12"/>
      <c r="D45" s="12"/>
      <c r="E45" s="12"/>
      <c r="F45" s="13"/>
      <c r="G45" s="12"/>
      <c r="H45" s="12"/>
      <c r="I45" s="12"/>
      <c r="J45" s="12"/>
      <c r="K45" s="12"/>
      <c r="L45" s="12"/>
      <c r="M45" s="12"/>
      <c r="N45" s="13"/>
      <c r="O45" s="12"/>
      <c r="P45" s="12"/>
      <c r="Q45" s="14"/>
      <c r="R45" s="17"/>
    </row>
    <row r="46" spans="2:18" ht="24.95" customHeight="1">
      <c r="B46" s="64" t="s">
        <v>14</v>
      </c>
      <c r="C46" s="12">
        <f>+C10+C22+C34</f>
        <v>1150087075.3400002</v>
      </c>
      <c r="D46" s="12">
        <f t="shared" ref="D46:D54" si="18">+D10+D22+D34</f>
        <v>1150088049.28</v>
      </c>
      <c r="E46" s="12">
        <f t="shared" ref="E46:E55" si="19">+C46-D46</f>
        <v>-973.93999981880188</v>
      </c>
      <c r="F46" s="13"/>
      <c r="G46" s="12">
        <f>+G10+G22+G34</f>
        <v>0</v>
      </c>
      <c r="H46" s="12">
        <f t="shared" ref="H46:H54" si="20">+H10+H22+H34</f>
        <v>0</v>
      </c>
      <c r="I46" s="12">
        <f t="shared" ref="I46:I55" si="21">+G46-H46</f>
        <v>0</v>
      </c>
      <c r="J46" s="12"/>
      <c r="K46" s="12">
        <f>+K10+K22+K34</f>
        <v>8672281</v>
      </c>
      <c r="L46" s="12">
        <f t="shared" ref="L46:L54" si="22">+L10+L22+L34</f>
        <v>6429451.0099999998</v>
      </c>
      <c r="M46" s="12">
        <f t="shared" ref="M46:M55" si="23">+K46-L46</f>
        <v>2242829.9900000002</v>
      </c>
      <c r="N46" s="13"/>
      <c r="O46" s="12">
        <f t="shared" ref="O46:P55" si="24">+C46+G46+K46</f>
        <v>1158759356.3400002</v>
      </c>
      <c r="P46" s="12">
        <f t="shared" si="24"/>
        <v>1156517500.29</v>
      </c>
      <c r="Q46" s="14">
        <f t="shared" ref="Q46:Q55" si="25">+O46-P46</f>
        <v>2241856.0500001907</v>
      </c>
      <c r="R46" s="17">
        <f t="shared" ref="R46:R55" si="26">+P46/O46</f>
        <v>0.99806529626903617</v>
      </c>
    </row>
    <row r="47" spans="2:18" ht="24.95" hidden="1" customHeight="1">
      <c r="B47" s="64" t="s">
        <v>172</v>
      </c>
      <c r="C47" s="12">
        <f t="shared" ref="C47:C54" si="27">+C11+C23+C35</f>
        <v>1890388703.5699997</v>
      </c>
      <c r="D47" s="12">
        <f t="shared" si="18"/>
        <v>1443372180.6893749</v>
      </c>
      <c r="E47" s="12">
        <f t="shared" si="19"/>
        <v>447016522.88062477</v>
      </c>
      <c r="F47" s="13"/>
      <c r="G47" s="12">
        <f t="shared" ref="G47:G54" si="28">+G11+G23+G35</f>
        <v>12956701.1</v>
      </c>
      <c r="H47" s="12">
        <f t="shared" si="20"/>
        <v>12902016.689999999</v>
      </c>
      <c r="I47" s="12">
        <f t="shared" si="21"/>
        <v>54684.410000000149</v>
      </c>
      <c r="J47" s="12"/>
      <c r="K47" s="12">
        <f t="shared" ref="K47:K54" si="29">+K11+K23+K35</f>
        <v>13950341</v>
      </c>
      <c r="L47" s="12">
        <f t="shared" si="22"/>
        <v>18233090.920000002</v>
      </c>
      <c r="M47" s="12">
        <f t="shared" si="23"/>
        <v>-4282749.9200000018</v>
      </c>
      <c r="N47" s="13"/>
      <c r="O47" s="12">
        <f t="shared" si="24"/>
        <v>1917295745.6699996</v>
      </c>
      <c r="P47" s="12">
        <f t="shared" si="24"/>
        <v>1474507288.2993751</v>
      </c>
      <c r="Q47" s="14">
        <f t="shared" si="25"/>
        <v>442788457.37062454</v>
      </c>
      <c r="R47" s="17">
        <f t="shared" si="26"/>
        <v>0.76905573468745581</v>
      </c>
    </row>
    <row r="48" spans="2:18" ht="24.95" hidden="1" customHeight="1">
      <c r="B48" s="64" t="s">
        <v>170</v>
      </c>
      <c r="C48" s="12">
        <f t="shared" si="27"/>
        <v>1684119031</v>
      </c>
      <c r="D48" s="12">
        <f t="shared" si="18"/>
        <v>1523008057.1099999</v>
      </c>
      <c r="E48" s="12">
        <f t="shared" si="19"/>
        <v>161110973.8900001</v>
      </c>
      <c r="F48" s="13"/>
      <c r="G48" s="12">
        <f t="shared" si="28"/>
        <v>121881876</v>
      </c>
      <c r="H48" s="12">
        <f t="shared" si="20"/>
        <v>121880079.89</v>
      </c>
      <c r="I48" s="12">
        <f t="shared" si="21"/>
        <v>1796.109999999404</v>
      </c>
      <c r="J48" s="12"/>
      <c r="K48" s="12">
        <f t="shared" si="29"/>
        <v>459180866.26999998</v>
      </c>
      <c r="L48" s="12">
        <f t="shared" si="22"/>
        <v>371486383.42999995</v>
      </c>
      <c r="M48" s="12">
        <f t="shared" si="23"/>
        <v>87694482.840000033</v>
      </c>
      <c r="N48" s="13"/>
      <c r="O48" s="12">
        <f t="shared" si="24"/>
        <v>2265181773.27</v>
      </c>
      <c r="P48" s="12">
        <f t="shared" si="24"/>
        <v>2016374520.4299998</v>
      </c>
      <c r="Q48" s="14">
        <f t="shared" si="25"/>
        <v>248807252.84000015</v>
      </c>
      <c r="R48" s="17">
        <f t="shared" si="26"/>
        <v>0.89016013823878526</v>
      </c>
    </row>
    <row r="49" spans="2:18" ht="24.95" hidden="1" customHeight="1">
      <c r="B49" s="64" t="s">
        <v>164</v>
      </c>
      <c r="C49" s="12">
        <f t="shared" si="27"/>
        <v>931551534.1400001</v>
      </c>
      <c r="D49" s="12">
        <f t="shared" si="18"/>
        <v>803234679.80999994</v>
      </c>
      <c r="E49" s="12">
        <f t="shared" si="19"/>
        <v>128316854.33000016</v>
      </c>
      <c r="F49" s="13"/>
      <c r="G49" s="12">
        <f t="shared" si="28"/>
        <v>215105913</v>
      </c>
      <c r="H49" s="12">
        <f t="shared" si="20"/>
        <v>215105913</v>
      </c>
      <c r="I49" s="12">
        <f t="shared" si="21"/>
        <v>0</v>
      </c>
      <c r="J49" s="12"/>
      <c r="K49" s="12">
        <f t="shared" si="29"/>
        <v>20838860.719999999</v>
      </c>
      <c r="L49" s="12">
        <f t="shared" si="22"/>
        <v>119354857.76999998</v>
      </c>
      <c r="M49" s="12">
        <f t="shared" si="23"/>
        <v>-98515997.049999982</v>
      </c>
      <c r="N49" s="13"/>
      <c r="O49" s="12">
        <f t="shared" si="24"/>
        <v>1167496307.8600001</v>
      </c>
      <c r="P49" s="12">
        <f t="shared" si="24"/>
        <v>1137695450.5799999</v>
      </c>
      <c r="Q49" s="14">
        <f t="shared" si="25"/>
        <v>29800857.28000021</v>
      </c>
      <c r="R49" s="17">
        <f t="shared" si="26"/>
        <v>0.97447455972291286</v>
      </c>
    </row>
    <row r="50" spans="2:18" ht="24.95" hidden="1" customHeight="1">
      <c r="B50" s="64" t="s">
        <v>165</v>
      </c>
      <c r="C50" s="12">
        <f t="shared" si="27"/>
        <v>1463408963.6599998</v>
      </c>
      <c r="D50" s="12">
        <f t="shared" si="18"/>
        <v>1207104786.6400001</v>
      </c>
      <c r="E50" s="12">
        <f t="shared" si="19"/>
        <v>256304177.01999974</v>
      </c>
      <c r="F50" s="13"/>
      <c r="G50" s="12">
        <f t="shared" si="28"/>
        <v>70304851.060000002</v>
      </c>
      <c r="H50" s="12">
        <f t="shared" si="20"/>
        <v>82026279.239999995</v>
      </c>
      <c r="I50" s="12">
        <f t="shared" si="21"/>
        <v>-11721428.179999992</v>
      </c>
      <c r="J50" s="12"/>
      <c r="K50" s="12">
        <f t="shared" si="29"/>
        <v>93406829.799999997</v>
      </c>
      <c r="L50" s="12">
        <f t="shared" si="22"/>
        <v>92503084.309999987</v>
      </c>
      <c r="M50" s="12">
        <f t="shared" si="23"/>
        <v>903745.49000000954</v>
      </c>
      <c r="N50" s="13"/>
      <c r="O50" s="12">
        <f t="shared" si="24"/>
        <v>1627120644.5199997</v>
      </c>
      <c r="P50" s="12">
        <f t="shared" si="24"/>
        <v>1381634150.1900001</v>
      </c>
      <c r="Q50" s="14">
        <f t="shared" si="25"/>
        <v>245486494.32999969</v>
      </c>
      <c r="R50" s="17">
        <f t="shared" si="26"/>
        <v>0.84912827751477638</v>
      </c>
    </row>
    <row r="51" spans="2:18" ht="24.95" hidden="1" customHeight="1">
      <c r="B51" s="64" t="s">
        <v>166</v>
      </c>
      <c r="C51" s="12">
        <f t="shared" si="27"/>
        <v>32238000</v>
      </c>
      <c r="D51" s="12">
        <f t="shared" si="18"/>
        <v>32237806.100000001</v>
      </c>
      <c r="E51" s="12">
        <f t="shared" si="19"/>
        <v>193.89999999850988</v>
      </c>
      <c r="F51" s="13"/>
      <c r="G51" s="12">
        <f t="shared" si="28"/>
        <v>0</v>
      </c>
      <c r="H51" s="12">
        <f t="shared" si="20"/>
        <v>0</v>
      </c>
      <c r="I51" s="12">
        <f t="shared" si="21"/>
        <v>0</v>
      </c>
      <c r="J51" s="12"/>
      <c r="K51" s="12">
        <f t="shared" si="29"/>
        <v>0</v>
      </c>
      <c r="L51" s="12">
        <f t="shared" si="22"/>
        <v>0</v>
      </c>
      <c r="M51" s="12">
        <f t="shared" si="23"/>
        <v>0</v>
      </c>
      <c r="N51" s="13"/>
      <c r="O51" s="12">
        <f t="shared" si="24"/>
        <v>32238000</v>
      </c>
      <c r="P51" s="12">
        <f t="shared" si="24"/>
        <v>32237806.100000001</v>
      </c>
      <c r="Q51" s="14">
        <f t="shared" si="25"/>
        <v>193.89999999850988</v>
      </c>
      <c r="R51" s="17">
        <f t="shared" si="26"/>
        <v>0.99999398535889328</v>
      </c>
    </row>
    <row r="52" spans="2:18" ht="24.95" hidden="1" customHeight="1">
      <c r="B52" s="64" t="s">
        <v>167</v>
      </c>
      <c r="C52" s="12">
        <f t="shared" si="27"/>
        <v>111366000</v>
      </c>
      <c r="D52" s="12">
        <f t="shared" si="18"/>
        <v>78522464.829999998</v>
      </c>
      <c r="E52" s="12">
        <f t="shared" si="19"/>
        <v>32843535.170000002</v>
      </c>
      <c r="F52" s="13"/>
      <c r="G52" s="12">
        <f t="shared" si="28"/>
        <v>0</v>
      </c>
      <c r="H52" s="12">
        <f t="shared" si="20"/>
        <v>0</v>
      </c>
      <c r="I52" s="12">
        <f t="shared" si="21"/>
        <v>0</v>
      </c>
      <c r="J52" s="12"/>
      <c r="K52" s="12">
        <f t="shared" si="29"/>
        <v>0</v>
      </c>
      <c r="L52" s="12">
        <f t="shared" si="22"/>
        <v>0</v>
      </c>
      <c r="M52" s="12">
        <f t="shared" si="23"/>
        <v>0</v>
      </c>
      <c r="N52" s="13"/>
      <c r="O52" s="12">
        <f t="shared" si="24"/>
        <v>111366000</v>
      </c>
      <c r="P52" s="12">
        <f t="shared" si="24"/>
        <v>78522464.829999998</v>
      </c>
      <c r="Q52" s="14">
        <f t="shared" si="25"/>
        <v>32843535.170000002</v>
      </c>
      <c r="R52" s="17">
        <f t="shared" si="26"/>
        <v>0.7050847191243288</v>
      </c>
    </row>
    <row r="53" spans="2:18" ht="24.95" hidden="1" customHeight="1">
      <c r="B53" s="64" t="s">
        <v>168</v>
      </c>
      <c r="C53" s="12">
        <f t="shared" si="27"/>
        <v>68773000</v>
      </c>
      <c r="D53" s="12">
        <f t="shared" si="18"/>
        <v>34522188.439999998</v>
      </c>
      <c r="E53" s="12">
        <f t="shared" si="19"/>
        <v>34250811.560000002</v>
      </c>
      <c r="F53" s="13"/>
      <c r="G53" s="12">
        <f t="shared" si="28"/>
        <v>0</v>
      </c>
      <c r="H53" s="12">
        <f t="shared" si="20"/>
        <v>0</v>
      </c>
      <c r="I53" s="12">
        <f t="shared" si="21"/>
        <v>0</v>
      </c>
      <c r="J53" s="12"/>
      <c r="K53" s="12">
        <f t="shared" si="29"/>
        <v>0</v>
      </c>
      <c r="L53" s="12">
        <f t="shared" si="22"/>
        <v>0</v>
      </c>
      <c r="M53" s="12">
        <f t="shared" si="23"/>
        <v>0</v>
      </c>
      <c r="N53" s="13"/>
      <c r="O53" s="12">
        <f t="shared" si="24"/>
        <v>68773000</v>
      </c>
      <c r="P53" s="12">
        <f t="shared" si="24"/>
        <v>34522188.439999998</v>
      </c>
      <c r="Q53" s="14">
        <f t="shared" si="25"/>
        <v>34250811.560000002</v>
      </c>
      <c r="R53" s="17">
        <f t="shared" si="26"/>
        <v>0.50197298998153339</v>
      </c>
    </row>
    <row r="54" spans="2:18" ht="24.95" hidden="1" customHeight="1">
      <c r="B54" s="64" t="s">
        <v>169</v>
      </c>
      <c r="C54" s="12">
        <f t="shared" si="27"/>
        <v>71174000</v>
      </c>
      <c r="D54" s="12">
        <f t="shared" si="18"/>
        <v>52691894.829999998</v>
      </c>
      <c r="E54" s="12">
        <f t="shared" si="19"/>
        <v>18482105.170000002</v>
      </c>
      <c r="F54" s="13"/>
      <c r="G54" s="12">
        <f t="shared" si="28"/>
        <v>0</v>
      </c>
      <c r="H54" s="12">
        <f t="shared" si="20"/>
        <v>0</v>
      </c>
      <c r="I54" s="12">
        <f t="shared" si="21"/>
        <v>0</v>
      </c>
      <c r="J54" s="12"/>
      <c r="K54" s="12">
        <f t="shared" si="29"/>
        <v>7985</v>
      </c>
      <c r="L54" s="12">
        <f t="shared" si="22"/>
        <v>7985</v>
      </c>
      <c r="M54" s="12">
        <f t="shared" si="23"/>
        <v>0</v>
      </c>
      <c r="N54" s="13"/>
      <c r="O54" s="12">
        <f t="shared" si="24"/>
        <v>71181985</v>
      </c>
      <c r="P54" s="12">
        <f t="shared" si="24"/>
        <v>52699879.829999998</v>
      </c>
      <c r="Q54" s="14">
        <f t="shared" si="25"/>
        <v>18482105.170000002</v>
      </c>
      <c r="R54" s="17">
        <f t="shared" si="26"/>
        <v>0.74035417570892403</v>
      </c>
    </row>
    <row r="55" spans="2:18" s="48" customFormat="1" ht="24.95" hidden="1" customHeight="1">
      <c r="B55" s="72" t="s">
        <v>175</v>
      </c>
      <c r="C55" s="32">
        <f>SUM(C46:C54)</f>
        <v>7403106307.71</v>
      </c>
      <c r="D55" s="32">
        <f>SUM(D46:D54)</f>
        <v>6324782107.7293739</v>
      </c>
      <c r="E55" s="32">
        <f t="shared" si="19"/>
        <v>1078324199.9806261</v>
      </c>
      <c r="F55" s="33"/>
      <c r="G55" s="32">
        <f>SUM(G46:G54)</f>
        <v>420249341.16000003</v>
      </c>
      <c r="H55" s="32">
        <f>SUM(H46:H54)</f>
        <v>431914288.82000005</v>
      </c>
      <c r="I55" s="32">
        <f t="shared" si="21"/>
        <v>-11664947.660000026</v>
      </c>
      <c r="J55" s="32"/>
      <c r="K55" s="32">
        <f>SUM(K46:K54)</f>
        <v>596057163.78999996</v>
      </c>
      <c r="L55" s="32">
        <f>SUM(L46:L54)</f>
        <v>608014852.43999994</v>
      </c>
      <c r="M55" s="32">
        <f t="shared" si="23"/>
        <v>-11957688.649999976</v>
      </c>
      <c r="N55" s="33"/>
      <c r="O55" s="32">
        <f t="shared" si="24"/>
        <v>8419412812.6599998</v>
      </c>
      <c r="P55" s="32">
        <f t="shared" si="24"/>
        <v>7364711248.9893732</v>
      </c>
      <c r="Q55" s="34">
        <f t="shared" si="25"/>
        <v>1054701563.6706266</v>
      </c>
      <c r="R55" s="65">
        <f t="shared" si="26"/>
        <v>0.87472979563554532</v>
      </c>
    </row>
    <row r="56" spans="2:18" ht="24.95" hidden="1" customHeight="1">
      <c r="B56" s="18"/>
      <c r="C56" s="32"/>
      <c r="D56" s="32"/>
      <c r="E56" s="32"/>
      <c r="F56" s="13"/>
      <c r="G56" s="32"/>
      <c r="H56" s="32"/>
      <c r="I56" s="32"/>
      <c r="J56" s="12"/>
      <c r="K56" s="32"/>
      <c r="L56" s="32"/>
      <c r="M56" s="32"/>
      <c r="N56" s="13"/>
      <c r="O56" s="32"/>
      <c r="P56" s="32"/>
      <c r="Q56" s="34"/>
      <c r="R56" s="65"/>
    </row>
    <row r="57" spans="2:18" ht="24.95" customHeight="1">
      <c r="B57" s="70" t="s">
        <v>154</v>
      </c>
      <c r="C57" s="12"/>
      <c r="D57" s="12"/>
      <c r="E57" s="12"/>
      <c r="F57" s="13"/>
      <c r="G57" s="12"/>
      <c r="H57" s="12"/>
      <c r="I57" s="12"/>
      <c r="J57" s="12"/>
      <c r="K57" s="12"/>
      <c r="L57" s="12"/>
      <c r="M57" s="12"/>
      <c r="N57" s="13"/>
      <c r="O57" s="12"/>
      <c r="P57" s="12"/>
      <c r="Q57" s="14"/>
      <c r="R57" s="17"/>
    </row>
    <row r="58" spans="2:18" ht="24.95" customHeight="1">
      <c r="B58" s="64" t="s">
        <v>14</v>
      </c>
      <c r="C58" s="12">
        <f>+april!F8</f>
        <v>494277775</v>
      </c>
      <c r="D58" s="12">
        <f>+april!G8</f>
        <v>494277568.47000003</v>
      </c>
      <c r="E58" s="12">
        <f t="shared" ref="E58:E67" si="30">+C58-D58</f>
        <v>206.52999997138977</v>
      </c>
      <c r="F58" s="13"/>
      <c r="G58" s="12">
        <f>+april!J8</f>
        <v>0</v>
      </c>
      <c r="H58" s="12">
        <f>+april!K8</f>
        <v>0</v>
      </c>
      <c r="I58" s="12">
        <f t="shared" ref="I58:I67" si="31">+G58-H58</f>
        <v>0</v>
      </c>
      <c r="J58" s="12"/>
      <c r="K58" s="12">
        <f>+april!N8</f>
        <v>941836</v>
      </c>
      <c r="L58" s="12">
        <f>+april!O8</f>
        <v>370970.9</v>
      </c>
      <c r="M58" s="12">
        <f t="shared" ref="M58:M67" si="32">+K58-L58</f>
        <v>570865.1</v>
      </c>
      <c r="N58" s="13"/>
      <c r="O58" s="12">
        <f t="shared" ref="O58:P67" si="33">+C58+G58+K58</f>
        <v>495219611</v>
      </c>
      <c r="P58" s="12">
        <f t="shared" si="33"/>
        <v>494648539.37</v>
      </c>
      <c r="Q58" s="14">
        <f t="shared" ref="Q58:Q67" si="34">+O58-P58</f>
        <v>571071.62999999523</v>
      </c>
      <c r="R58" s="17">
        <f t="shared" ref="R58:R67" si="35">+P58/O58</f>
        <v>0.99884683155247667</v>
      </c>
    </row>
    <row r="59" spans="2:18" ht="24.95" hidden="1" customHeight="1">
      <c r="B59" s="64" t="s">
        <v>172</v>
      </c>
      <c r="C59" s="12">
        <f>+SUM(april!F13:F17)+SUM(april!F35:F46)</f>
        <v>737068090.40999997</v>
      </c>
      <c r="D59" s="12">
        <f>+SUM(april!G13:G17)+SUM(april!G35:G46)</f>
        <v>424904737.58999997</v>
      </c>
      <c r="E59" s="12">
        <f t="shared" si="30"/>
        <v>312163352.81999999</v>
      </c>
      <c r="F59" s="13"/>
      <c r="G59" s="12">
        <f>+SUM(april!J13:J17)+SUM(april!J35:J46)</f>
        <v>7797660</v>
      </c>
      <c r="H59" s="12">
        <f>+SUM(april!K13:K17)+SUM(april!K35:K46)</f>
        <v>7339000</v>
      </c>
      <c r="I59" s="12">
        <f t="shared" si="31"/>
        <v>458660</v>
      </c>
      <c r="J59" s="12"/>
      <c r="K59" s="12">
        <f>+SUM(april!N13:N17)+SUM(april!N35:N46)</f>
        <v>8798146.0399999991</v>
      </c>
      <c r="L59" s="12">
        <f>+SUM(april!O13:O17)+SUM(april!O35:O46)</f>
        <v>7189894.3300000001</v>
      </c>
      <c r="M59" s="12">
        <f t="shared" si="32"/>
        <v>1608251.709999999</v>
      </c>
      <c r="N59" s="13"/>
      <c r="O59" s="12">
        <f t="shared" si="33"/>
        <v>753663896.44999993</v>
      </c>
      <c r="P59" s="12">
        <f t="shared" si="33"/>
        <v>439433631.91999996</v>
      </c>
      <c r="Q59" s="14">
        <f t="shared" si="34"/>
        <v>314230264.52999997</v>
      </c>
      <c r="R59" s="17">
        <f t="shared" si="35"/>
        <v>0.58306313197417858</v>
      </c>
    </row>
    <row r="60" spans="2:18" ht="24.95" hidden="1" customHeight="1">
      <c r="B60" s="64" t="s">
        <v>170</v>
      </c>
      <c r="C60" s="12">
        <f>+april!F53+SUM(april!F20:F32)</f>
        <v>619616125</v>
      </c>
      <c r="D60" s="12">
        <f>+april!G53+SUM(april!G20:G32)</f>
        <v>397262985.38999999</v>
      </c>
      <c r="E60" s="12">
        <f t="shared" si="30"/>
        <v>222353139.61000001</v>
      </c>
      <c r="F60" s="13"/>
      <c r="G60" s="12">
        <f>+april!J53+SUM(april!J20:J32)</f>
        <v>9422892</v>
      </c>
      <c r="H60" s="12">
        <f>+april!K53+SUM(april!K20:K32)</f>
        <v>9422892</v>
      </c>
      <c r="I60" s="12">
        <f t="shared" si="31"/>
        <v>0</v>
      </c>
      <c r="J60" s="12"/>
      <c r="K60" s="12">
        <f>+april!N53+SUM(april!N20:N32)</f>
        <v>131489747.11</v>
      </c>
      <c r="L60" s="12">
        <f>+april!O53+SUM(april!O20:O32)</f>
        <v>23083960.68</v>
      </c>
      <c r="M60" s="12">
        <f t="shared" si="32"/>
        <v>108405786.43000001</v>
      </c>
      <c r="N60" s="13"/>
      <c r="O60" s="12">
        <f t="shared" si="33"/>
        <v>760528764.11000001</v>
      </c>
      <c r="P60" s="12">
        <f t="shared" si="33"/>
        <v>429769838.06999999</v>
      </c>
      <c r="Q60" s="14">
        <f t="shared" si="34"/>
        <v>330758926.04000002</v>
      </c>
      <c r="R60" s="17">
        <f t="shared" si="35"/>
        <v>0.56509346963744778</v>
      </c>
    </row>
    <row r="61" spans="2:18" ht="24.95" hidden="1" customHeight="1">
      <c r="B61" s="64" t="s">
        <v>164</v>
      </c>
      <c r="C61" s="12">
        <f>+april!F83</f>
        <v>310472680</v>
      </c>
      <c r="D61" s="12">
        <f>+april!G83</f>
        <v>174876645.25</v>
      </c>
      <c r="E61" s="12">
        <f t="shared" si="30"/>
        <v>135596034.75</v>
      </c>
      <c r="F61" s="13"/>
      <c r="G61" s="12">
        <f>+april!J83</f>
        <v>35483000</v>
      </c>
      <c r="H61" s="12">
        <f>+april!K83</f>
        <v>35483000</v>
      </c>
      <c r="I61" s="12">
        <f t="shared" si="31"/>
        <v>0</v>
      </c>
      <c r="J61" s="12"/>
      <c r="K61" s="12">
        <f>+april!N83</f>
        <v>15784071.789999999</v>
      </c>
      <c r="L61" s="12">
        <f>+april!O83</f>
        <v>34334288.649999999</v>
      </c>
      <c r="M61" s="12">
        <f t="shared" si="32"/>
        <v>-18550216.859999999</v>
      </c>
      <c r="N61" s="13"/>
      <c r="O61" s="12">
        <f t="shared" si="33"/>
        <v>361739751.79000002</v>
      </c>
      <c r="P61" s="12">
        <f t="shared" si="33"/>
        <v>244693933.90000001</v>
      </c>
      <c r="Q61" s="14">
        <f t="shared" si="34"/>
        <v>117045817.89000002</v>
      </c>
      <c r="R61" s="17">
        <f t="shared" si="35"/>
        <v>0.67643639574909542</v>
      </c>
    </row>
    <row r="62" spans="2:18" ht="24.95" hidden="1" customHeight="1">
      <c r="B62" s="64" t="s">
        <v>165</v>
      </c>
      <c r="C62" s="12">
        <f>april!F106</f>
        <v>573565280.72000003</v>
      </c>
      <c r="D62" s="12">
        <f>april!G106</f>
        <v>221067247.93999997</v>
      </c>
      <c r="E62" s="12">
        <f t="shared" si="30"/>
        <v>352498032.78000009</v>
      </c>
      <c r="F62" s="13"/>
      <c r="G62" s="12">
        <f>april!J106</f>
        <v>41106673</v>
      </c>
      <c r="H62" s="12">
        <f>april!K106</f>
        <v>24226843.149999999</v>
      </c>
      <c r="I62" s="12">
        <f t="shared" si="31"/>
        <v>16879829.850000001</v>
      </c>
      <c r="J62" s="12"/>
      <c r="K62" s="12">
        <f>april!N106</f>
        <v>19109508</v>
      </c>
      <c r="L62" s="12">
        <f>april!O106</f>
        <v>14895113.100000001</v>
      </c>
      <c r="M62" s="12">
        <f t="shared" si="32"/>
        <v>4214394.8999999985</v>
      </c>
      <c r="N62" s="13"/>
      <c r="O62" s="12">
        <f t="shared" si="33"/>
        <v>633781461.72000003</v>
      </c>
      <c r="P62" s="12">
        <f t="shared" si="33"/>
        <v>260189204.18999997</v>
      </c>
      <c r="Q62" s="14">
        <f t="shared" si="34"/>
        <v>373592257.53000009</v>
      </c>
      <c r="R62" s="17">
        <f t="shared" si="35"/>
        <v>0.41053457683012767</v>
      </c>
    </row>
    <row r="63" spans="2:18" ht="24.95" hidden="1" customHeight="1">
      <c r="B63" s="64" t="s">
        <v>166</v>
      </c>
      <c r="C63" s="12">
        <f>+april!F49</f>
        <v>20356000</v>
      </c>
      <c r="D63" s="12">
        <f>+april!G49</f>
        <v>6033528.2599999998</v>
      </c>
      <c r="E63" s="12">
        <f t="shared" si="30"/>
        <v>14322471.74</v>
      </c>
      <c r="F63" s="13"/>
      <c r="G63" s="12">
        <f>+april!J49</f>
        <v>0</v>
      </c>
      <c r="H63" s="12">
        <f>+april!K49</f>
        <v>0</v>
      </c>
      <c r="I63" s="12">
        <f t="shared" si="31"/>
        <v>0</v>
      </c>
      <c r="J63" s="12"/>
      <c r="K63" s="12">
        <f>+april!N49</f>
        <v>0</v>
      </c>
      <c r="L63" s="12">
        <f>+april!O49</f>
        <v>0</v>
      </c>
      <c r="M63" s="12">
        <f t="shared" si="32"/>
        <v>0</v>
      </c>
      <c r="N63" s="13"/>
      <c r="O63" s="12">
        <f t="shared" si="33"/>
        <v>20356000</v>
      </c>
      <c r="P63" s="12">
        <f t="shared" si="33"/>
        <v>6033528.2599999998</v>
      </c>
      <c r="Q63" s="14">
        <f t="shared" si="34"/>
        <v>14322471.74</v>
      </c>
      <c r="R63" s="17">
        <f t="shared" si="35"/>
        <v>0.29640048437807032</v>
      </c>
    </row>
    <row r="64" spans="2:18" ht="24.95" hidden="1" customHeight="1">
      <c r="B64" s="64" t="s">
        <v>167</v>
      </c>
      <c r="C64" s="12">
        <f>+april!F50</f>
        <v>25474000</v>
      </c>
      <c r="D64" s="12">
        <f>+april!G50</f>
        <v>23853862.960000001</v>
      </c>
      <c r="E64" s="12">
        <f t="shared" si="30"/>
        <v>1620137.0399999991</v>
      </c>
      <c r="F64" s="13"/>
      <c r="G64" s="12">
        <f>+april!J50</f>
        <v>0</v>
      </c>
      <c r="H64" s="12">
        <f>+april!K50</f>
        <v>0</v>
      </c>
      <c r="I64" s="12">
        <f t="shared" si="31"/>
        <v>0</v>
      </c>
      <c r="J64" s="12"/>
      <c r="K64" s="12">
        <f>+april!N50</f>
        <v>536533</v>
      </c>
      <c r="L64" s="12">
        <f>+april!O50</f>
        <v>286887.90000000002</v>
      </c>
      <c r="M64" s="12">
        <f t="shared" si="32"/>
        <v>249645.09999999998</v>
      </c>
      <c r="N64" s="13"/>
      <c r="O64" s="12">
        <f t="shared" si="33"/>
        <v>26010533</v>
      </c>
      <c r="P64" s="12">
        <f t="shared" si="33"/>
        <v>24140750.859999999</v>
      </c>
      <c r="Q64" s="14">
        <f t="shared" si="34"/>
        <v>1869782.1400000006</v>
      </c>
      <c r="R64" s="17">
        <f t="shared" si="35"/>
        <v>0.9281144242603564</v>
      </c>
    </row>
    <row r="65" spans="2:18" ht="24.95" hidden="1" customHeight="1">
      <c r="B65" s="64" t="s">
        <v>168</v>
      </c>
      <c r="C65" s="12">
        <f>+april!F140</f>
        <v>27730000</v>
      </c>
      <c r="D65" s="12">
        <f>+april!G140</f>
        <v>17859241.940000001</v>
      </c>
      <c r="E65" s="12">
        <f t="shared" si="30"/>
        <v>9870758.0599999987</v>
      </c>
      <c r="F65" s="13"/>
      <c r="G65" s="12">
        <f>+april!J140</f>
        <v>0</v>
      </c>
      <c r="H65" s="12">
        <f>+april!K140</f>
        <v>0</v>
      </c>
      <c r="I65" s="12">
        <f t="shared" si="31"/>
        <v>0</v>
      </c>
      <c r="J65" s="12"/>
      <c r="K65" s="12">
        <f>+april!N140</f>
        <v>0</v>
      </c>
      <c r="L65" s="12">
        <f>+april!O140</f>
        <v>0</v>
      </c>
      <c r="M65" s="12">
        <f t="shared" si="32"/>
        <v>0</v>
      </c>
      <c r="N65" s="13"/>
      <c r="O65" s="12">
        <f t="shared" si="33"/>
        <v>27730000</v>
      </c>
      <c r="P65" s="12">
        <f t="shared" si="33"/>
        <v>17859241.940000001</v>
      </c>
      <c r="Q65" s="14">
        <f t="shared" si="34"/>
        <v>9870758.0599999987</v>
      </c>
      <c r="R65" s="17">
        <f t="shared" si="35"/>
        <v>0.64404045943022004</v>
      </c>
    </row>
    <row r="66" spans="2:18" ht="24.95" hidden="1" customHeight="1">
      <c r="B66" s="64" t="s">
        <v>169</v>
      </c>
      <c r="C66" s="12">
        <f>+april!F141</f>
        <v>27311000</v>
      </c>
      <c r="D66" s="12">
        <f>+april!G141</f>
        <v>19128377.75</v>
      </c>
      <c r="E66" s="12">
        <f t="shared" si="30"/>
        <v>8182622.25</v>
      </c>
      <c r="F66" s="13"/>
      <c r="G66" s="12">
        <f>+april!J141</f>
        <v>0</v>
      </c>
      <c r="H66" s="12">
        <f>+april!K141</f>
        <v>0</v>
      </c>
      <c r="I66" s="12">
        <f t="shared" si="31"/>
        <v>0</v>
      </c>
      <c r="J66" s="12"/>
      <c r="K66" s="12">
        <f>+april!N141</f>
        <v>345800</v>
      </c>
      <c r="L66" s="12">
        <f>+april!O141</f>
        <v>345799.75</v>
      </c>
      <c r="M66" s="12">
        <f t="shared" si="32"/>
        <v>0.25</v>
      </c>
      <c r="N66" s="13"/>
      <c r="O66" s="12">
        <f t="shared" si="33"/>
        <v>27656800</v>
      </c>
      <c r="P66" s="12">
        <f t="shared" si="33"/>
        <v>19474177.5</v>
      </c>
      <c r="Q66" s="14">
        <f t="shared" si="34"/>
        <v>8182622.5</v>
      </c>
      <c r="R66" s="17">
        <f t="shared" si="35"/>
        <v>0.70413704767001239</v>
      </c>
    </row>
    <row r="67" spans="2:18" ht="24.95" hidden="1" customHeight="1">
      <c r="B67" s="71" t="s">
        <v>176</v>
      </c>
      <c r="C67" s="12">
        <f>SUM(C58:C66)</f>
        <v>2835870951.1300001</v>
      </c>
      <c r="D67" s="12">
        <f>SUM(D58:D66)</f>
        <v>1779264195.55</v>
      </c>
      <c r="E67" s="12">
        <f t="shared" si="30"/>
        <v>1056606755.5800002</v>
      </c>
      <c r="F67" s="13"/>
      <c r="G67" s="12">
        <f>SUM(G58:G66)</f>
        <v>93810225</v>
      </c>
      <c r="H67" s="12">
        <f>SUM(H58:H66)</f>
        <v>76471735.150000006</v>
      </c>
      <c r="I67" s="12">
        <f t="shared" si="31"/>
        <v>17338489.849999994</v>
      </c>
      <c r="J67" s="12"/>
      <c r="K67" s="12">
        <f>SUM(K58:K66)</f>
        <v>177005641.94</v>
      </c>
      <c r="L67" s="12">
        <f>SUM(L58:L66)</f>
        <v>80506915.310000002</v>
      </c>
      <c r="M67" s="12">
        <f t="shared" si="32"/>
        <v>96498726.629999995</v>
      </c>
      <c r="N67" s="13"/>
      <c r="O67" s="12">
        <f t="shared" si="33"/>
        <v>3106686818.0700002</v>
      </c>
      <c r="P67" s="12">
        <f t="shared" si="33"/>
        <v>1936242846.01</v>
      </c>
      <c r="Q67" s="14">
        <f t="shared" si="34"/>
        <v>1170443972.0600002</v>
      </c>
      <c r="R67" s="17">
        <f t="shared" si="35"/>
        <v>0.62325009226802996</v>
      </c>
    </row>
    <row r="68" spans="2:18" ht="24.95" hidden="1" customHeight="1">
      <c r="B68" s="18"/>
      <c r="C68" s="12"/>
      <c r="D68" s="12"/>
      <c r="E68" s="12"/>
      <c r="F68" s="13"/>
      <c r="G68" s="12"/>
      <c r="H68" s="12"/>
      <c r="I68" s="12"/>
      <c r="J68" s="12"/>
      <c r="K68" s="12"/>
      <c r="L68" s="12"/>
      <c r="M68" s="12"/>
      <c r="N68" s="13"/>
      <c r="O68" s="12"/>
      <c r="P68" s="12"/>
      <c r="Q68" s="14"/>
      <c r="R68" s="17"/>
    </row>
    <row r="69" spans="2:18" ht="24.95" customHeight="1">
      <c r="B69" s="70" t="s">
        <v>155</v>
      </c>
      <c r="C69" s="12"/>
      <c r="D69" s="12"/>
      <c r="E69" s="12"/>
      <c r="F69" s="13"/>
      <c r="G69" s="12"/>
      <c r="H69" s="12"/>
      <c r="I69" s="12"/>
      <c r="J69" s="12"/>
      <c r="K69" s="12"/>
      <c r="L69" s="12"/>
      <c r="M69" s="12"/>
      <c r="N69" s="13"/>
      <c r="O69" s="12"/>
      <c r="P69" s="12"/>
      <c r="Q69" s="14"/>
      <c r="R69" s="17"/>
    </row>
    <row r="70" spans="2:18" ht="24.95" customHeight="1">
      <c r="B70" s="64" t="s">
        <v>14</v>
      </c>
      <c r="C70" s="12">
        <f>+may!F8</f>
        <v>974847124.95000005</v>
      </c>
      <c r="D70" s="12">
        <f>+may!G8</f>
        <v>974847193.40999997</v>
      </c>
      <c r="E70" s="12">
        <f t="shared" ref="E70:E79" si="36">+C70-D70</f>
        <v>-68.459999918937683</v>
      </c>
      <c r="F70" s="13"/>
      <c r="G70" s="12">
        <f>+may!J8</f>
        <v>0</v>
      </c>
      <c r="H70" s="12">
        <f>+may!K8</f>
        <v>0</v>
      </c>
      <c r="I70" s="12">
        <f t="shared" ref="I70:I79" si="37">+G70-H70</f>
        <v>0</v>
      </c>
      <c r="J70" s="12"/>
      <c r="K70" s="12">
        <f>+may!N8</f>
        <v>412923</v>
      </c>
      <c r="L70" s="12">
        <f>+may!O8</f>
        <v>196261.99</v>
      </c>
      <c r="M70" s="12">
        <f t="shared" ref="M70:M79" si="38">+K70-L70</f>
        <v>216661.01</v>
      </c>
      <c r="N70" s="13"/>
      <c r="O70" s="12">
        <f t="shared" ref="O70:P79" si="39">+C70+G70+K70</f>
        <v>975260047.95000005</v>
      </c>
      <c r="P70" s="12">
        <f t="shared" si="39"/>
        <v>975043455.39999998</v>
      </c>
      <c r="Q70" s="14">
        <f t="shared" ref="Q70:Q79" si="40">+O70-P70</f>
        <v>216592.55000007153</v>
      </c>
      <c r="R70" s="17">
        <f t="shared" ref="R70:R79" si="41">+P70/O70</f>
        <v>0.99977791302898611</v>
      </c>
    </row>
    <row r="71" spans="2:18" ht="24.95" hidden="1" customHeight="1">
      <c r="B71" s="64" t="s">
        <v>172</v>
      </c>
      <c r="C71" s="12">
        <f>+SUM(may!F13:F17)+SUM(may!F35:F46)</f>
        <v>749925727.94000006</v>
      </c>
      <c r="D71" s="12">
        <f>+SUM(may!G13:G17)+SUM(may!G35:G46)</f>
        <v>593684493.21000004</v>
      </c>
      <c r="E71" s="12">
        <f t="shared" si="36"/>
        <v>156241234.73000002</v>
      </c>
      <c r="F71" s="13"/>
      <c r="G71" s="12">
        <f>+SUM(may!J13:J17)+SUM(may!J35:J46)</f>
        <v>3221789.87</v>
      </c>
      <c r="H71" s="12">
        <f>+SUM(may!K13:K17)+SUM(may!K35:K46)</f>
        <v>1135236.42</v>
      </c>
      <c r="I71" s="12">
        <f t="shared" si="37"/>
        <v>2086553.4500000002</v>
      </c>
      <c r="J71" s="12"/>
      <c r="K71" s="12">
        <f>+SUM(may!N13:N17)+SUM(may!N35:N46)</f>
        <v>6726979.6899999995</v>
      </c>
      <c r="L71" s="12">
        <f>+SUM(may!O13:O17)+SUM(may!O35:O46)</f>
        <v>12611995.33</v>
      </c>
      <c r="M71" s="12">
        <f t="shared" si="38"/>
        <v>-5885015.6400000006</v>
      </c>
      <c r="N71" s="13"/>
      <c r="O71" s="12">
        <f t="shared" si="39"/>
        <v>759874497.50000012</v>
      </c>
      <c r="P71" s="12">
        <f t="shared" si="39"/>
        <v>607431724.96000004</v>
      </c>
      <c r="Q71" s="14">
        <f t="shared" si="40"/>
        <v>152442772.54000008</v>
      </c>
      <c r="R71" s="17">
        <f t="shared" si="41"/>
        <v>0.79938427590142924</v>
      </c>
    </row>
    <row r="72" spans="2:18" ht="24.95" hidden="1" customHeight="1">
      <c r="B72" s="64" t="s">
        <v>170</v>
      </c>
      <c r="C72" s="12">
        <f>+may!F53+SUM(may!F20:F32)</f>
        <v>668689461</v>
      </c>
      <c r="D72" s="12">
        <f>+may!G53+SUM(may!G20:G32)</f>
        <v>550857947.36000001</v>
      </c>
      <c r="E72" s="12">
        <f t="shared" si="36"/>
        <v>117831513.63999999</v>
      </c>
      <c r="F72" s="13"/>
      <c r="G72" s="12">
        <f>+may!J53+SUM(may!J20:J32)</f>
        <v>154727962</v>
      </c>
      <c r="H72" s="12">
        <f>+may!K53+SUM(may!K20:K32)</f>
        <v>93570403.310000002</v>
      </c>
      <c r="I72" s="12">
        <f t="shared" si="37"/>
        <v>61157558.689999998</v>
      </c>
      <c r="J72" s="12"/>
      <c r="K72" s="12">
        <f>+may!N53+SUM(may!N20:N32)</f>
        <v>66867281.909999996</v>
      </c>
      <c r="L72" s="12">
        <f>+may!O53+SUM(may!O20:O32)</f>
        <v>14670535.299999999</v>
      </c>
      <c r="M72" s="12">
        <f t="shared" si="38"/>
        <v>52196746.609999999</v>
      </c>
      <c r="N72" s="13"/>
      <c r="O72" s="12">
        <f t="shared" si="39"/>
        <v>890284704.90999997</v>
      </c>
      <c r="P72" s="12">
        <f t="shared" si="39"/>
        <v>659098885.97000003</v>
      </c>
      <c r="Q72" s="14">
        <f t="shared" si="40"/>
        <v>231185818.93999994</v>
      </c>
      <c r="R72" s="17">
        <f t="shared" si="41"/>
        <v>0.74032372154099757</v>
      </c>
    </row>
    <row r="73" spans="2:18" ht="24.95" hidden="1" customHeight="1">
      <c r="B73" s="64" t="s">
        <v>164</v>
      </c>
      <c r="C73" s="12">
        <f>+may!F83</f>
        <v>361155467.39999998</v>
      </c>
      <c r="D73" s="12">
        <f>+may!G83</f>
        <v>259756410.50999996</v>
      </c>
      <c r="E73" s="12">
        <f t="shared" si="36"/>
        <v>101399056.89000002</v>
      </c>
      <c r="F73" s="13"/>
      <c r="G73" s="12">
        <f>+may!J83</f>
        <v>143682000</v>
      </c>
      <c r="H73" s="12">
        <f>+may!K83</f>
        <v>83357151.979999989</v>
      </c>
      <c r="I73" s="12">
        <f t="shared" si="37"/>
        <v>60324848.020000011</v>
      </c>
      <c r="J73" s="12"/>
      <c r="K73" s="12">
        <f>+may!N83</f>
        <v>40989921.469999999</v>
      </c>
      <c r="L73" s="12">
        <f>+may!O83</f>
        <v>57946007.439999998</v>
      </c>
      <c r="M73" s="12">
        <f t="shared" si="38"/>
        <v>-16956085.969999999</v>
      </c>
      <c r="N73" s="13"/>
      <c r="O73" s="12">
        <f t="shared" si="39"/>
        <v>545827388.87</v>
      </c>
      <c r="P73" s="12">
        <f t="shared" si="39"/>
        <v>401059569.92999995</v>
      </c>
      <c r="Q73" s="14">
        <f t="shared" si="40"/>
        <v>144767818.94000006</v>
      </c>
      <c r="R73" s="17">
        <f t="shared" si="41"/>
        <v>0.73477362643947597</v>
      </c>
    </row>
    <row r="74" spans="2:18" ht="24.95" hidden="1" customHeight="1">
      <c r="B74" s="64" t="s">
        <v>165</v>
      </c>
      <c r="C74" s="12">
        <f>may!F106</f>
        <v>416484739</v>
      </c>
      <c r="D74" s="12">
        <f>may!G106</f>
        <v>362231182.8300001</v>
      </c>
      <c r="E74" s="12">
        <f t="shared" si="36"/>
        <v>54253556.169999897</v>
      </c>
      <c r="F74" s="13"/>
      <c r="G74" s="12">
        <f>may!J106</f>
        <v>104196123.18000001</v>
      </c>
      <c r="H74" s="12">
        <f>may!K106</f>
        <v>60839924.820000008</v>
      </c>
      <c r="I74" s="12">
        <f t="shared" si="37"/>
        <v>43356198.359999999</v>
      </c>
      <c r="J74" s="12"/>
      <c r="K74" s="12">
        <f>may!N106</f>
        <v>10037968</v>
      </c>
      <c r="L74" s="12">
        <f>may!O106</f>
        <v>5000173.88</v>
      </c>
      <c r="M74" s="12">
        <f t="shared" si="38"/>
        <v>5037794.12</v>
      </c>
      <c r="N74" s="13"/>
      <c r="O74" s="12">
        <f t="shared" si="39"/>
        <v>530718830.18000001</v>
      </c>
      <c r="P74" s="12">
        <f t="shared" si="39"/>
        <v>428071281.53000009</v>
      </c>
      <c r="Q74" s="14">
        <f t="shared" si="40"/>
        <v>102647548.64999992</v>
      </c>
      <c r="R74" s="17">
        <f t="shared" si="41"/>
        <v>0.80658770178705419</v>
      </c>
    </row>
    <row r="75" spans="2:18" ht="24.95" hidden="1" customHeight="1">
      <c r="B75" s="64" t="s">
        <v>166</v>
      </c>
      <c r="C75" s="12">
        <f>+may!F49</f>
        <v>19402000</v>
      </c>
      <c r="D75" s="12">
        <f>+may!G49</f>
        <v>8503040.8800000008</v>
      </c>
      <c r="E75" s="12">
        <f t="shared" si="36"/>
        <v>10898959.119999999</v>
      </c>
      <c r="F75" s="13"/>
      <c r="G75" s="12">
        <f>+may!J49</f>
        <v>0</v>
      </c>
      <c r="H75" s="12">
        <f>+may!K49</f>
        <v>0</v>
      </c>
      <c r="I75" s="12">
        <f t="shared" si="37"/>
        <v>0</v>
      </c>
      <c r="J75" s="12"/>
      <c r="K75" s="12">
        <f>+may!N49</f>
        <v>0</v>
      </c>
      <c r="L75" s="12">
        <f>+may!O49</f>
        <v>0</v>
      </c>
      <c r="M75" s="12">
        <f t="shared" si="38"/>
        <v>0</v>
      </c>
      <c r="N75" s="13"/>
      <c r="O75" s="12">
        <f t="shared" si="39"/>
        <v>19402000</v>
      </c>
      <c r="P75" s="12">
        <f t="shared" si="39"/>
        <v>8503040.8800000008</v>
      </c>
      <c r="Q75" s="14">
        <f t="shared" si="40"/>
        <v>10898959.119999999</v>
      </c>
      <c r="R75" s="17">
        <f t="shared" si="41"/>
        <v>0.43825589526852904</v>
      </c>
    </row>
    <row r="76" spans="2:18" ht="24.95" hidden="1" customHeight="1">
      <c r="B76" s="64" t="s">
        <v>167</v>
      </c>
      <c r="C76" s="12">
        <f>+may!F50</f>
        <v>42544000</v>
      </c>
      <c r="D76" s="12">
        <f>+may!G50</f>
        <v>22217721.719999999</v>
      </c>
      <c r="E76" s="12">
        <f t="shared" si="36"/>
        <v>20326278.280000001</v>
      </c>
      <c r="F76" s="13"/>
      <c r="G76" s="12">
        <f>+may!J50</f>
        <v>0</v>
      </c>
      <c r="H76" s="12">
        <f>+may!K50</f>
        <v>0</v>
      </c>
      <c r="I76" s="12">
        <f t="shared" si="37"/>
        <v>0</v>
      </c>
      <c r="J76" s="12"/>
      <c r="K76" s="12">
        <f>+may!N50</f>
        <v>242469</v>
      </c>
      <c r="L76" s="12">
        <f>+may!O50</f>
        <v>190941.01</v>
      </c>
      <c r="M76" s="12">
        <f t="shared" si="38"/>
        <v>51527.989999999991</v>
      </c>
      <c r="N76" s="13"/>
      <c r="O76" s="12">
        <f t="shared" si="39"/>
        <v>42786469</v>
      </c>
      <c r="P76" s="12">
        <f t="shared" si="39"/>
        <v>22408662.73</v>
      </c>
      <c r="Q76" s="14">
        <f t="shared" si="40"/>
        <v>20377806.27</v>
      </c>
      <c r="R76" s="17">
        <f t="shared" si="41"/>
        <v>0.52373246154058661</v>
      </c>
    </row>
    <row r="77" spans="2:18" ht="24.95" hidden="1" customHeight="1">
      <c r="B77" s="64" t="s">
        <v>168</v>
      </c>
      <c r="C77" s="12">
        <f>+may!F140</f>
        <v>34002000</v>
      </c>
      <c r="D77" s="12">
        <f>+may!G140</f>
        <v>20661269.66</v>
      </c>
      <c r="E77" s="12">
        <f t="shared" si="36"/>
        <v>13340730.34</v>
      </c>
      <c r="F77" s="13"/>
      <c r="G77" s="12">
        <f>+may!J140</f>
        <v>0</v>
      </c>
      <c r="H77" s="12">
        <f>+may!K140</f>
        <v>0</v>
      </c>
      <c r="I77" s="12">
        <f t="shared" si="37"/>
        <v>0</v>
      </c>
      <c r="J77" s="12"/>
      <c r="K77" s="12">
        <f>+may!N140</f>
        <v>0</v>
      </c>
      <c r="L77" s="12">
        <f>+may!O140</f>
        <v>0</v>
      </c>
      <c r="M77" s="12">
        <f t="shared" si="38"/>
        <v>0</v>
      </c>
      <c r="N77" s="13"/>
      <c r="O77" s="12">
        <f t="shared" si="39"/>
        <v>34002000</v>
      </c>
      <c r="P77" s="12">
        <f t="shared" si="39"/>
        <v>20661269.66</v>
      </c>
      <c r="Q77" s="14">
        <f t="shared" si="40"/>
        <v>13340730.34</v>
      </c>
      <c r="R77" s="17">
        <f t="shared" si="41"/>
        <v>0.60764865772601617</v>
      </c>
    </row>
    <row r="78" spans="2:18" ht="24.95" hidden="1" customHeight="1">
      <c r="B78" s="64" t="s">
        <v>169</v>
      </c>
      <c r="C78" s="12">
        <f>+may!F141</f>
        <v>30770000</v>
      </c>
      <c r="D78" s="12">
        <f>+may!G141</f>
        <v>19001084.690000001</v>
      </c>
      <c r="E78" s="12">
        <f t="shared" si="36"/>
        <v>11768915.309999999</v>
      </c>
      <c r="F78" s="13"/>
      <c r="G78" s="12">
        <f>+may!J141</f>
        <v>0</v>
      </c>
      <c r="H78" s="12">
        <f>+may!K141</f>
        <v>0</v>
      </c>
      <c r="I78" s="12">
        <f t="shared" si="37"/>
        <v>0</v>
      </c>
      <c r="J78" s="12"/>
      <c r="K78" s="12">
        <f>+may!N141</f>
        <v>0</v>
      </c>
      <c r="L78" s="12">
        <f>+may!O141</f>
        <v>0</v>
      </c>
      <c r="M78" s="12">
        <f t="shared" si="38"/>
        <v>0</v>
      </c>
      <c r="N78" s="13"/>
      <c r="O78" s="12">
        <f t="shared" si="39"/>
        <v>30770000</v>
      </c>
      <c r="P78" s="12">
        <f t="shared" si="39"/>
        <v>19001084.690000001</v>
      </c>
      <c r="Q78" s="14">
        <f t="shared" si="40"/>
        <v>11768915.309999999</v>
      </c>
      <c r="R78" s="17">
        <f t="shared" si="41"/>
        <v>0.61751981442963932</v>
      </c>
    </row>
    <row r="79" spans="2:18" ht="24.95" hidden="1" customHeight="1">
      <c r="B79" s="71" t="s">
        <v>177</v>
      </c>
      <c r="C79" s="12">
        <f>SUM(C70:C78)</f>
        <v>3297820520.2900004</v>
      </c>
      <c r="D79" s="12">
        <f>SUM(D70:D78)</f>
        <v>2811760344.2699995</v>
      </c>
      <c r="E79" s="12">
        <f t="shared" si="36"/>
        <v>486060176.02000093</v>
      </c>
      <c r="F79" s="13"/>
      <c r="G79" s="12">
        <f>SUM(G70:G78)</f>
        <v>405827875.05000001</v>
      </c>
      <c r="H79" s="12">
        <f>SUM(H70:H78)</f>
        <v>238902716.52999997</v>
      </c>
      <c r="I79" s="12">
        <f t="shared" si="37"/>
        <v>166925158.52000004</v>
      </c>
      <c r="J79" s="12"/>
      <c r="K79" s="12">
        <f>SUM(K70:K78)</f>
        <v>125277543.06999999</v>
      </c>
      <c r="L79" s="12">
        <f>SUM(L70:L78)</f>
        <v>90615914.950000003</v>
      </c>
      <c r="M79" s="12">
        <f t="shared" si="38"/>
        <v>34661628.11999999</v>
      </c>
      <c r="N79" s="13"/>
      <c r="O79" s="12">
        <f t="shared" si="39"/>
        <v>3828925938.4100008</v>
      </c>
      <c r="P79" s="12">
        <f t="shared" si="39"/>
        <v>3141278975.749999</v>
      </c>
      <c r="Q79" s="14">
        <f t="shared" si="40"/>
        <v>687646962.66000175</v>
      </c>
      <c r="R79" s="17">
        <f t="shared" si="41"/>
        <v>0.82040734824305483</v>
      </c>
    </row>
    <row r="80" spans="2:18" ht="24.95" hidden="1" customHeight="1">
      <c r="B80" s="18"/>
      <c r="C80" s="12"/>
      <c r="D80" s="12"/>
      <c r="E80" s="12"/>
      <c r="F80" s="13"/>
      <c r="G80" s="12"/>
      <c r="H80" s="12"/>
      <c r="I80" s="12"/>
      <c r="J80" s="12"/>
      <c r="K80" s="12"/>
      <c r="L80" s="12"/>
      <c r="M80" s="12"/>
      <c r="N80" s="13"/>
      <c r="O80" s="12"/>
      <c r="P80" s="12"/>
      <c r="Q80" s="14"/>
      <c r="R80" s="17"/>
    </row>
    <row r="81" spans="2:18" ht="24.95" customHeight="1">
      <c r="B81" s="70" t="s">
        <v>156</v>
      </c>
      <c r="C81" s="12"/>
      <c r="D81" s="12"/>
      <c r="E81" s="12"/>
      <c r="F81" s="13"/>
      <c r="G81" s="12"/>
      <c r="H81" s="12"/>
      <c r="I81" s="12"/>
      <c r="J81" s="12"/>
      <c r="K81" s="12"/>
      <c r="L81" s="12"/>
      <c r="M81" s="12"/>
      <c r="N81" s="13"/>
      <c r="O81" s="12"/>
      <c r="P81" s="12"/>
      <c r="Q81" s="14"/>
      <c r="R81" s="17"/>
    </row>
    <row r="82" spans="2:18" ht="24.95" customHeight="1">
      <c r="B82" s="64" t="s">
        <v>14</v>
      </c>
      <c r="C82" s="12">
        <f>+june!F8</f>
        <v>839926227.44000006</v>
      </c>
      <c r="D82" s="12">
        <f>+june!G8</f>
        <v>752101484.49000001</v>
      </c>
      <c r="E82" s="12">
        <f t="shared" ref="E82:E91" si="42">+C82-D82</f>
        <v>87824742.950000048</v>
      </c>
      <c r="F82" s="13"/>
      <c r="G82" s="12">
        <f>+june!J8</f>
        <v>0</v>
      </c>
      <c r="H82" s="12">
        <f>+june!K8</f>
        <v>0</v>
      </c>
      <c r="I82" s="12">
        <f t="shared" ref="I82:I91" si="43">+G82-H82</f>
        <v>0</v>
      </c>
      <c r="J82" s="12"/>
      <c r="K82" s="12">
        <f>+june!N8</f>
        <v>404573</v>
      </c>
      <c r="L82" s="12">
        <f>+june!O8</f>
        <v>20861.05</v>
      </c>
      <c r="M82" s="12">
        <f t="shared" ref="M82:M91" si="44">+K82-L82</f>
        <v>383711.95</v>
      </c>
      <c r="N82" s="13"/>
      <c r="O82" s="12">
        <f t="shared" ref="O82:P91" si="45">+C82+G82+K82</f>
        <v>840330800.44000006</v>
      </c>
      <c r="P82" s="12">
        <f t="shared" si="45"/>
        <v>752122345.53999996</v>
      </c>
      <c r="Q82" s="14">
        <f t="shared" ref="Q82:Q91" si="46">+O82-P82</f>
        <v>88208454.900000095</v>
      </c>
      <c r="R82" s="17">
        <f t="shared" ref="R82:R91" si="47">+P82/O82</f>
        <v>0.89503127238247859</v>
      </c>
    </row>
    <row r="83" spans="2:18" ht="24.95" hidden="1" customHeight="1">
      <c r="B83" s="64" t="s">
        <v>172</v>
      </c>
      <c r="C83" s="12">
        <f>+SUM(june!F13:F17)+SUM(june!F35:F46)</f>
        <v>911337421.43999994</v>
      </c>
      <c r="D83" s="12">
        <f>+SUM(june!G13:G17)+SUM(june!G35:G46)</f>
        <v>729865039.98000002</v>
      </c>
      <c r="E83" s="12">
        <f t="shared" si="42"/>
        <v>181472381.45999992</v>
      </c>
      <c r="F83" s="13"/>
      <c r="G83" s="12">
        <f>+SUM(june!J13:J17)+SUM(june!J35:J46)</f>
        <v>21234786.809999999</v>
      </c>
      <c r="H83" s="12">
        <f>+SUM(june!K13:K17)+SUM(june!K35:K46)</f>
        <v>22394860.539999999</v>
      </c>
      <c r="I83" s="12">
        <f t="shared" si="43"/>
        <v>-1160073.7300000004</v>
      </c>
      <c r="J83" s="12"/>
      <c r="K83" s="12">
        <f>+SUM(june!N13:N17)+SUM(june!N35:N46)</f>
        <v>5023309</v>
      </c>
      <c r="L83" s="12">
        <f>+SUM(june!O13:O17)+SUM(june!O35:O46)</f>
        <v>16222691.5</v>
      </c>
      <c r="M83" s="12">
        <f t="shared" si="44"/>
        <v>-11199382.5</v>
      </c>
      <c r="N83" s="13"/>
      <c r="O83" s="12">
        <f t="shared" si="45"/>
        <v>937595517.24999988</v>
      </c>
      <c r="P83" s="12">
        <f t="shared" si="45"/>
        <v>768482592.01999998</v>
      </c>
      <c r="Q83" s="14">
        <f t="shared" si="46"/>
        <v>169112925.2299999</v>
      </c>
      <c r="R83" s="17">
        <f t="shared" si="47"/>
        <v>0.81963125663610892</v>
      </c>
    </row>
    <row r="84" spans="2:18" ht="24.95" hidden="1" customHeight="1">
      <c r="B84" s="64" t="s">
        <v>170</v>
      </c>
      <c r="C84" s="12">
        <f>+june!F53+SUM(june!F20:F32)</f>
        <v>640383448.52999997</v>
      </c>
      <c r="D84" s="12">
        <f>+june!G53+SUM(june!G20:G32)</f>
        <v>782014070.96000004</v>
      </c>
      <c r="E84" s="12">
        <f t="shared" si="42"/>
        <v>-141630622.43000007</v>
      </c>
      <c r="F84" s="13"/>
      <c r="G84" s="12">
        <f>+june!J53+SUM(june!J20:J32)</f>
        <v>50876985.75</v>
      </c>
      <c r="H84" s="12">
        <f>+june!K53+SUM(june!K20:K32)</f>
        <v>111537327.72999999</v>
      </c>
      <c r="I84" s="12">
        <f t="shared" si="43"/>
        <v>-60660341.979999989</v>
      </c>
      <c r="J84" s="12"/>
      <c r="K84" s="12">
        <f>+june!N53+SUM(june!N20:N32)</f>
        <v>90778161</v>
      </c>
      <c r="L84" s="12">
        <f>+june!O53+SUM(june!O20:O32)</f>
        <v>180280219.44999999</v>
      </c>
      <c r="M84" s="12">
        <f t="shared" si="44"/>
        <v>-89502058.449999988</v>
      </c>
      <c r="N84" s="13"/>
      <c r="O84" s="12">
        <f t="shared" si="45"/>
        <v>782038595.27999997</v>
      </c>
      <c r="P84" s="12">
        <f t="shared" si="45"/>
        <v>1073831618.1400001</v>
      </c>
      <c r="Q84" s="14">
        <f t="shared" si="46"/>
        <v>-291793022.86000013</v>
      </c>
      <c r="R84" s="17">
        <f t="shared" si="47"/>
        <v>1.3731184427739489</v>
      </c>
    </row>
    <row r="85" spans="2:18" ht="24.95" hidden="1" customHeight="1">
      <c r="B85" s="64" t="s">
        <v>164</v>
      </c>
      <c r="C85" s="12">
        <f>+june!F83</f>
        <v>266545680</v>
      </c>
      <c r="D85" s="12">
        <f>+june!G83</f>
        <v>255656376.37</v>
      </c>
      <c r="E85" s="12">
        <f t="shared" si="42"/>
        <v>10889303.629999995</v>
      </c>
      <c r="F85" s="13"/>
      <c r="G85" s="12">
        <f>+june!J83</f>
        <v>68782000</v>
      </c>
      <c r="H85" s="12">
        <f>+june!K83</f>
        <v>129269876.03</v>
      </c>
      <c r="I85" s="12">
        <f t="shared" si="43"/>
        <v>-60487876.030000001</v>
      </c>
      <c r="J85" s="12"/>
      <c r="K85" s="12">
        <f>+june!N83</f>
        <v>1092074.54</v>
      </c>
      <c r="L85" s="12">
        <f>+june!O83</f>
        <v>29254034.469999999</v>
      </c>
      <c r="M85" s="12">
        <f t="shared" si="44"/>
        <v>-28161959.93</v>
      </c>
      <c r="N85" s="13"/>
      <c r="O85" s="12">
        <f t="shared" si="45"/>
        <v>336419754.54000002</v>
      </c>
      <c r="P85" s="12">
        <f t="shared" si="45"/>
        <v>414180286.87</v>
      </c>
      <c r="Q85" s="14">
        <f t="shared" si="46"/>
        <v>-77760532.329999983</v>
      </c>
      <c r="R85" s="17">
        <f t="shared" si="47"/>
        <v>1.2311413978537764</v>
      </c>
    </row>
    <row r="86" spans="2:18" ht="24.95" hidden="1" customHeight="1">
      <c r="B86" s="64" t="s">
        <v>165</v>
      </c>
      <c r="C86" s="12">
        <f>june!F106</f>
        <v>464802643</v>
      </c>
      <c r="D86" s="12">
        <f>june!G106</f>
        <v>570204054.70000005</v>
      </c>
      <c r="E86" s="12">
        <f t="shared" si="42"/>
        <v>-105401411.70000005</v>
      </c>
      <c r="F86" s="13"/>
      <c r="G86" s="12">
        <f>june!J106</f>
        <v>39300000</v>
      </c>
      <c r="H86" s="12">
        <f>june!K106</f>
        <v>97597702.620000005</v>
      </c>
      <c r="I86" s="12">
        <f t="shared" si="43"/>
        <v>-58297702.620000005</v>
      </c>
      <c r="J86" s="12"/>
      <c r="K86" s="12">
        <f>june!N106</f>
        <v>6303266.6600000001</v>
      </c>
      <c r="L86" s="12">
        <f>june!O106</f>
        <v>8439337.5999999996</v>
      </c>
      <c r="M86" s="12">
        <f t="shared" si="44"/>
        <v>-2136070.9399999995</v>
      </c>
      <c r="N86" s="13"/>
      <c r="O86" s="12">
        <f t="shared" si="45"/>
        <v>510405909.66000003</v>
      </c>
      <c r="P86" s="12">
        <f t="shared" si="45"/>
        <v>676241094.92000008</v>
      </c>
      <c r="Q86" s="14">
        <f t="shared" si="46"/>
        <v>-165835185.26000005</v>
      </c>
      <c r="R86" s="17">
        <f t="shared" si="47"/>
        <v>1.3249084348777798</v>
      </c>
    </row>
    <row r="87" spans="2:18" ht="24.95" hidden="1" customHeight="1">
      <c r="B87" s="64" t="s">
        <v>166</v>
      </c>
      <c r="C87" s="12">
        <f>+june!F49</f>
        <v>19402000</v>
      </c>
      <c r="D87" s="12">
        <f>+june!G49</f>
        <v>20140259.920000002</v>
      </c>
      <c r="E87" s="12">
        <f t="shared" si="42"/>
        <v>-738259.92000000179</v>
      </c>
      <c r="F87" s="13"/>
      <c r="G87" s="12">
        <f>+june!J49</f>
        <v>0</v>
      </c>
      <c r="H87" s="12">
        <f>+june!K49</f>
        <v>0</v>
      </c>
      <c r="I87" s="12">
        <f t="shared" si="43"/>
        <v>0</v>
      </c>
      <c r="J87" s="12"/>
      <c r="K87" s="12">
        <f>+june!N49</f>
        <v>0</v>
      </c>
      <c r="L87" s="12">
        <f>+june!O49</f>
        <v>0</v>
      </c>
      <c r="M87" s="12">
        <f t="shared" si="44"/>
        <v>0</v>
      </c>
      <c r="N87" s="13"/>
      <c r="O87" s="12">
        <f t="shared" si="45"/>
        <v>19402000</v>
      </c>
      <c r="P87" s="12">
        <f t="shared" si="45"/>
        <v>20140259.920000002</v>
      </c>
      <c r="Q87" s="14">
        <f t="shared" si="46"/>
        <v>-738259.92000000179</v>
      </c>
      <c r="R87" s="17">
        <f t="shared" si="47"/>
        <v>1.0380507122977014</v>
      </c>
    </row>
    <row r="88" spans="2:18" ht="24.95" hidden="1" customHeight="1">
      <c r="B88" s="64" t="s">
        <v>167</v>
      </c>
      <c r="C88" s="12">
        <f>+june!F50</f>
        <v>37037000</v>
      </c>
      <c r="D88" s="12">
        <f>+june!G50</f>
        <v>20455204.239999998</v>
      </c>
      <c r="E88" s="12">
        <f t="shared" si="42"/>
        <v>16581795.760000002</v>
      </c>
      <c r="F88" s="13"/>
      <c r="G88" s="12">
        <f>+june!J50</f>
        <v>0</v>
      </c>
      <c r="H88" s="12">
        <f>+june!K50</f>
        <v>0</v>
      </c>
      <c r="I88" s="12">
        <f t="shared" si="43"/>
        <v>0</v>
      </c>
      <c r="J88" s="12"/>
      <c r="K88" s="12">
        <f>+june!N50</f>
        <v>349476</v>
      </c>
      <c r="L88" s="12">
        <f>+june!O50</f>
        <v>222060.55</v>
      </c>
      <c r="M88" s="12">
        <f t="shared" si="44"/>
        <v>127415.45000000001</v>
      </c>
      <c r="N88" s="13"/>
      <c r="O88" s="12">
        <f t="shared" si="45"/>
        <v>37386476</v>
      </c>
      <c r="P88" s="12">
        <f t="shared" si="45"/>
        <v>20677264.789999999</v>
      </c>
      <c r="Q88" s="14">
        <f t="shared" si="46"/>
        <v>16709211.210000001</v>
      </c>
      <c r="R88" s="17">
        <f t="shared" si="47"/>
        <v>0.55306803428063134</v>
      </c>
    </row>
    <row r="89" spans="2:18" ht="24.95" hidden="1" customHeight="1">
      <c r="B89" s="64" t="s">
        <v>168</v>
      </c>
      <c r="C89" s="12">
        <f>+june!F140</f>
        <v>53005000</v>
      </c>
      <c r="D89" s="12">
        <f>+june!G140</f>
        <v>56915306.200000003</v>
      </c>
      <c r="E89" s="12">
        <f t="shared" si="42"/>
        <v>-3910306.200000003</v>
      </c>
      <c r="F89" s="13"/>
      <c r="G89" s="12">
        <f>+june!J140</f>
        <v>0</v>
      </c>
      <c r="H89" s="12">
        <f>+june!K140</f>
        <v>0</v>
      </c>
      <c r="I89" s="12">
        <f t="shared" si="43"/>
        <v>0</v>
      </c>
      <c r="J89" s="12"/>
      <c r="K89" s="12">
        <f>+june!N140</f>
        <v>0</v>
      </c>
      <c r="L89" s="12">
        <f>+june!O140</f>
        <v>0</v>
      </c>
      <c r="M89" s="12">
        <f t="shared" si="44"/>
        <v>0</v>
      </c>
      <c r="N89" s="13"/>
      <c r="O89" s="12">
        <f t="shared" si="45"/>
        <v>53005000</v>
      </c>
      <c r="P89" s="12">
        <f t="shared" si="45"/>
        <v>56915306.200000003</v>
      </c>
      <c r="Q89" s="14">
        <f t="shared" si="46"/>
        <v>-3910306.200000003</v>
      </c>
      <c r="R89" s="17">
        <f t="shared" si="47"/>
        <v>1.073772402603528</v>
      </c>
    </row>
    <row r="90" spans="2:18" ht="24.95" hidden="1" customHeight="1">
      <c r="B90" s="64" t="s">
        <v>169</v>
      </c>
      <c r="C90" s="12">
        <f>+june!F141</f>
        <v>28586000</v>
      </c>
      <c r="D90" s="12">
        <f>+june!G141</f>
        <v>26554511.899999999</v>
      </c>
      <c r="E90" s="12">
        <f t="shared" si="42"/>
        <v>2031488.1000000015</v>
      </c>
      <c r="F90" s="13"/>
      <c r="G90" s="12">
        <f>+june!J141</f>
        <v>0</v>
      </c>
      <c r="H90" s="12">
        <f>+june!K141</f>
        <v>0</v>
      </c>
      <c r="I90" s="12">
        <f t="shared" si="43"/>
        <v>0</v>
      </c>
      <c r="J90" s="12"/>
      <c r="K90" s="12">
        <f>+june!N141</f>
        <v>912321</v>
      </c>
      <c r="L90" s="12">
        <f>+june!O141</f>
        <v>912320.99</v>
      </c>
      <c r="M90" s="12">
        <f t="shared" si="44"/>
        <v>1.0000000009313226E-2</v>
      </c>
      <c r="N90" s="13"/>
      <c r="O90" s="12">
        <f t="shared" si="45"/>
        <v>29498321</v>
      </c>
      <c r="P90" s="12">
        <f t="shared" si="45"/>
        <v>27466832.889999997</v>
      </c>
      <c r="Q90" s="14">
        <f t="shared" si="46"/>
        <v>2031488.1100000031</v>
      </c>
      <c r="R90" s="17">
        <f t="shared" si="47"/>
        <v>0.93113207663581932</v>
      </c>
    </row>
    <row r="91" spans="2:18" ht="24.95" hidden="1" customHeight="1">
      <c r="B91" s="71" t="s">
        <v>178</v>
      </c>
      <c r="C91" s="12">
        <f>SUM(C82:C90)</f>
        <v>3261025420.4099998</v>
      </c>
      <c r="D91" s="12">
        <f>SUM(D82:D90)</f>
        <v>3213906308.7599998</v>
      </c>
      <c r="E91" s="12">
        <f t="shared" si="42"/>
        <v>47119111.650000095</v>
      </c>
      <c r="F91" s="13"/>
      <c r="G91" s="12">
        <f>SUM(G82:G90)</f>
        <v>180193772.56</v>
      </c>
      <c r="H91" s="12">
        <f>SUM(H82:H90)</f>
        <v>360799766.91999996</v>
      </c>
      <c r="I91" s="12">
        <f t="shared" si="43"/>
        <v>-180605994.35999995</v>
      </c>
      <c r="J91" s="12"/>
      <c r="K91" s="12">
        <f>SUM(K82:K90)</f>
        <v>104863181.2</v>
      </c>
      <c r="L91" s="12">
        <f>SUM(L82:L90)</f>
        <v>235351525.61000001</v>
      </c>
      <c r="M91" s="12">
        <f t="shared" si="44"/>
        <v>-130488344.41000001</v>
      </c>
      <c r="N91" s="13"/>
      <c r="O91" s="12">
        <f t="shared" si="45"/>
        <v>3546082374.1699996</v>
      </c>
      <c r="P91" s="12">
        <f t="shared" si="45"/>
        <v>3810057601.29</v>
      </c>
      <c r="Q91" s="14">
        <f t="shared" si="46"/>
        <v>-263975227.12000036</v>
      </c>
      <c r="R91" s="17">
        <f t="shared" si="47"/>
        <v>1.0744413691692052</v>
      </c>
    </row>
    <row r="92" spans="2:18" ht="28.5" hidden="1" customHeight="1">
      <c r="B92" s="67"/>
      <c r="C92" s="12"/>
      <c r="D92" s="12"/>
      <c r="E92" s="12"/>
      <c r="F92" s="13"/>
      <c r="G92" s="12"/>
      <c r="H92" s="12"/>
      <c r="I92" s="12"/>
      <c r="J92" s="12"/>
      <c r="K92" s="12"/>
      <c r="L92" s="12"/>
      <c r="M92" s="12"/>
      <c r="N92" s="13"/>
      <c r="O92" s="12"/>
      <c r="P92" s="12"/>
      <c r="Q92" s="14"/>
      <c r="R92" s="17"/>
    </row>
    <row r="93" spans="2:18" ht="24.95" customHeight="1">
      <c r="B93" s="73" t="s">
        <v>181</v>
      </c>
      <c r="C93" s="12"/>
      <c r="D93" s="12"/>
      <c r="E93" s="12"/>
      <c r="F93" s="13"/>
      <c r="G93" s="12"/>
      <c r="H93" s="12"/>
      <c r="I93" s="12"/>
      <c r="J93" s="12"/>
      <c r="K93" s="12"/>
      <c r="L93" s="12"/>
      <c r="M93" s="12"/>
      <c r="N93" s="13"/>
      <c r="O93" s="12"/>
      <c r="P93" s="12"/>
      <c r="Q93" s="14"/>
      <c r="R93" s="17"/>
    </row>
    <row r="94" spans="2:18" ht="24.95" customHeight="1">
      <c r="B94" s="64" t="s">
        <v>14</v>
      </c>
      <c r="C94" s="12">
        <f>+C58+C70+C82</f>
        <v>2309051127.3900003</v>
      </c>
      <c r="D94" s="12">
        <f t="shared" ref="D94:D102" si="48">+D58+D70+D82</f>
        <v>2221226246.3699999</v>
      </c>
      <c r="E94" s="12">
        <f t="shared" ref="E94:E103" si="49">+C94-D94</f>
        <v>87824881.020000458</v>
      </c>
      <c r="F94" s="13"/>
      <c r="G94" s="12">
        <f>+G58+G70+G82</f>
        <v>0</v>
      </c>
      <c r="H94" s="12">
        <f t="shared" ref="H94:H102" si="50">+H58+H70+H82</f>
        <v>0</v>
      </c>
      <c r="I94" s="12">
        <f t="shared" ref="I94:I103" si="51">+G94-H94</f>
        <v>0</v>
      </c>
      <c r="J94" s="12"/>
      <c r="K94" s="12">
        <f>+K58+K70+K82</f>
        <v>1759332</v>
      </c>
      <c r="L94" s="12">
        <f t="shared" ref="L94:L102" si="52">+L58+L70+L82</f>
        <v>588093.94000000006</v>
      </c>
      <c r="M94" s="12">
        <f t="shared" ref="M94:M103" si="53">+K94-L94</f>
        <v>1171238.06</v>
      </c>
      <c r="N94" s="13"/>
      <c r="O94" s="12">
        <f t="shared" ref="O94:P103" si="54">+C94+G94+K94</f>
        <v>2310810459.3900003</v>
      </c>
      <c r="P94" s="12">
        <f t="shared" si="54"/>
        <v>2221814340.3099999</v>
      </c>
      <c r="Q94" s="14">
        <f t="shared" ref="Q94:Q103" si="55">+O94-P94</f>
        <v>88996119.080000401</v>
      </c>
      <c r="R94" s="17">
        <f t="shared" ref="R94:R103" si="56">+P94/O94</f>
        <v>0.96148705372248777</v>
      </c>
    </row>
    <row r="95" spans="2:18" ht="24.95" hidden="1" customHeight="1">
      <c r="B95" s="64" t="s">
        <v>172</v>
      </c>
      <c r="C95" s="12">
        <f t="shared" ref="C95:C102" si="57">+C59+C71+C83</f>
        <v>2398331239.79</v>
      </c>
      <c r="D95" s="12">
        <f t="shared" si="48"/>
        <v>1748454270.78</v>
      </c>
      <c r="E95" s="12">
        <f t="shared" si="49"/>
        <v>649876969.00999999</v>
      </c>
      <c r="F95" s="13"/>
      <c r="G95" s="12">
        <f t="shared" ref="G95:G102" si="58">+G59+G71+G83</f>
        <v>32254236.68</v>
      </c>
      <c r="H95" s="12">
        <f t="shared" si="50"/>
        <v>30869096.960000001</v>
      </c>
      <c r="I95" s="12">
        <f t="shared" si="51"/>
        <v>1385139.7199999988</v>
      </c>
      <c r="J95" s="12"/>
      <c r="K95" s="12">
        <f t="shared" ref="K95:K102" si="59">+K59+K71+K83</f>
        <v>20548434.729999997</v>
      </c>
      <c r="L95" s="12">
        <f t="shared" si="52"/>
        <v>36024581.159999996</v>
      </c>
      <c r="M95" s="12">
        <f t="shared" si="53"/>
        <v>-15476146.43</v>
      </c>
      <c r="N95" s="13"/>
      <c r="O95" s="12">
        <f t="shared" si="54"/>
        <v>2451133911.1999998</v>
      </c>
      <c r="P95" s="12">
        <f t="shared" si="54"/>
        <v>1815347948.9000001</v>
      </c>
      <c r="Q95" s="14">
        <f t="shared" si="55"/>
        <v>635785962.29999971</v>
      </c>
      <c r="R95" s="17">
        <f t="shared" si="56"/>
        <v>0.740615574124737</v>
      </c>
    </row>
    <row r="96" spans="2:18" ht="24.95" hidden="1" customHeight="1">
      <c r="B96" s="64" t="s">
        <v>170</v>
      </c>
      <c r="C96" s="12">
        <f t="shared" si="57"/>
        <v>1928689034.53</v>
      </c>
      <c r="D96" s="12">
        <f t="shared" si="48"/>
        <v>1730135003.71</v>
      </c>
      <c r="E96" s="12">
        <f t="shared" si="49"/>
        <v>198554030.81999993</v>
      </c>
      <c r="F96" s="13"/>
      <c r="G96" s="12">
        <f t="shared" si="58"/>
        <v>215027839.75</v>
      </c>
      <c r="H96" s="12">
        <f t="shared" si="50"/>
        <v>214530623.03999999</v>
      </c>
      <c r="I96" s="12">
        <f t="shared" si="51"/>
        <v>497216.71000000834</v>
      </c>
      <c r="J96" s="12"/>
      <c r="K96" s="12">
        <f t="shared" si="59"/>
        <v>289135190.01999998</v>
      </c>
      <c r="L96" s="12">
        <f t="shared" si="52"/>
        <v>218034715.42999998</v>
      </c>
      <c r="M96" s="12">
        <f t="shared" si="53"/>
        <v>71100474.590000004</v>
      </c>
      <c r="N96" s="13"/>
      <c r="O96" s="12">
        <f t="shared" si="54"/>
        <v>2432852064.3000002</v>
      </c>
      <c r="P96" s="12">
        <f t="shared" si="54"/>
        <v>2162700342.1799998</v>
      </c>
      <c r="Q96" s="14">
        <f t="shared" si="55"/>
        <v>270151722.12000036</v>
      </c>
      <c r="R96" s="17">
        <f t="shared" si="56"/>
        <v>0.88895678200732253</v>
      </c>
    </row>
    <row r="97" spans="2:18" ht="24.95" hidden="1" customHeight="1">
      <c r="B97" s="64" t="s">
        <v>164</v>
      </c>
      <c r="C97" s="12">
        <f t="shared" si="57"/>
        <v>938173827.39999998</v>
      </c>
      <c r="D97" s="12">
        <f t="shared" si="48"/>
        <v>690289432.13</v>
      </c>
      <c r="E97" s="12">
        <f t="shared" si="49"/>
        <v>247884395.26999998</v>
      </c>
      <c r="F97" s="13"/>
      <c r="G97" s="12">
        <f t="shared" si="58"/>
        <v>247947000</v>
      </c>
      <c r="H97" s="12">
        <f t="shared" si="50"/>
        <v>248110028.00999999</v>
      </c>
      <c r="I97" s="12">
        <f t="shared" si="51"/>
        <v>-163028.00999999046</v>
      </c>
      <c r="J97" s="12"/>
      <c r="K97" s="12">
        <f t="shared" si="59"/>
        <v>57866067.799999997</v>
      </c>
      <c r="L97" s="12">
        <f t="shared" si="52"/>
        <v>121534330.56</v>
      </c>
      <c r="M97" s="12">
        <f t="shared" si="53"/>
        <v>-63668262.760000005</v>
      </c>
      <c r="N97" s="13"/>
      <c r="O97" s="12">
        <f t="shared" si="54"/>
        <v>1243986895.2</v>
      </c>
      <c r="P97" s="12">
        <f t="shared" si="54"/>
        <v>1059933790.7</v>
      </c>
      <c r="Q97" s="14">
        <f t="shared" si="55"/>
        <v>184053104.5</v>
      </c>
      <c r="R97" s="17">
        <f t="shared" si="56"/>
        <v>0.85204578503987438</v>
      </c>
    </row>
    <row r="98" spans="2:18" ht="24.95" hidden="1" customHeight="1">
      <c r="B98" s="64" t="s">
        <v>165</v>
      </c>
      <c r="C98" s="12">
        <f t="shared" si="57"/>
        <v>1454852662.72</v>
      </c>
      <c r="D98" s="12">
        <f t="shared" si="48"/>
        <v>1153502485.4700003</v>
      </c>
      <c r="E98" s="12">
        <f t="shared" si="49"/>
        <v>301350177.24999976</v>
      </c>
      <c r="F98" s="13"/>
      <c r="G98" s="12">
        <f t="shared" si="58"/>
        <v>184602796.18000001</v>
      </c>
      <c r="H98" s="12">
        <f t="shared" si="50"/>
        <v>182664470.59</v>
      </c>
      <c r="I98" s="12">
        <f t="shared" si="51"/>
        <v>1938325.5900000036</v>
      </c>
      <c r="J98" s="12"/>
      <c r="K98" s="12">
        <f t="shared" si="59"/>
        <v>35450742.659999996</v>
      </c>
      <c r="L98" s="12">
        <f t="shared" si="52"/>
        <v>28334624.579999998</v>
      </c>
      <c r="M98" s="12">
        <f t="shared" si="53"/>
        <v>7116118.0799999982</v>
      </c>
      <c r="N98" s="13"/>
      <c r="O98" s="12">
        <f t="shared" si="54"/>
        <v>1674906201.5600002</v>
      </c>
      <c r="P98" s="12">
        <f t="shared" si="54"/>
        <v>1364501580.6400001</v>
      </c>
      <c r="Q98" s="14">
        <f t="shared" si="55"/>
        <v>310404620.92000008</v>
      </c>
      <c r="R98" s="17">
        <f t="shared" si="56"/>
        <v>0.81467343029066908</v>
      </c>
    </row>
    <row r="99" spans="2:18" ht="24.95" hidden="1" customHeight="1">
      <c r="B99" s="64" t="s">
        <v>166</v>
      </c>
      <c r="C99" s="12">
        <f t="shared" si="57"/>
        <v>59160000</v>
      </c>
      <c r="D99" s="12">
        <f t="shared" si="48"/>
        <v>34676829.060000002</v>
      </c>
      <c r="E99" s="12">
        <f t="shared" si="49"/>
        <v>24483170.939999998</v>
      </c>
      <c r="F99" s="13"/>
      <c r="G99" s="12">
        <f t="shared" si="58"/>
        <v>0</v>
      </c>
      <c r="H99" s="12">
        <f t="shared" si="50"/>
        <v>0</v>
      </c>
      <c r="I99" s="12">
        <f t="shared" si="51"/>
        <v>0</v>
      </c>
      <c r="J99" s="12"/>
      <c r="K99" s="12">
        <f t="shared" si="59"/>
        <v>0</v>
      </c>
      <c r="L99" s="12">
        <f t="shared" si="52"/>
        <v>0</v>
      </c>
      <c r="M99" s="12">
        <f t="shared" si="53"/>
        <v>0</v>
      </c>
      <c r="N99" s="13"/>
      <c r="O99" s="12">
        <f t="shared" si="54"/>
        <v>59160000</v>
      </c>
      <c r="P99" s="12">
        <f t="shared" si="54"/>
        <v>34676829.060000002</v>
      </c>
      <c r="Q99" s="14">
        <f t="shared" si="55"/>
        <v>24483170.939999998</v>
      </c>
      <c r="R99" s="17">
        <f t="shared" si="56"/>
        <v>0.58615329716024345</v>
      </c>
    </row>
    <row r="100" spans="2:18" ht="24.95" hidden="1" customHeight="1">
      <c r="B100" s="64" t="s">
        <v>167</v>
      </c>
      <c r="C100" s="12">
        <f t="shared" si="57"/>
        <v>105055000</v>
      </c>
      <c r="D100" s="12">
        <f t="shared" si="48"/>
        <v>66526788.920000002</v>
      </c>
      <c r="E100" s="12">
        <f t="shared" si="49"/>
        <v>38528211.079999998</v>
      </c>
      <c r="F100" s="13"/>
      <c r="G100" s="12">
        <f t="shared" si="58"/>
        <v>0</v>
      </c>
      <c r="H100" s="12">
        <f t="shared" si="50"/>
        <v>0</v>
      </c>
      <c r="I100" s="12">
        <f t="shared" si="51"/>
        <v>0</v>
      </c>
      <c r="J100" s="12"/>
      <c r="K100" s="12">
        <f t="shared" si="59"/>
        <v>1128478</v>
      </c>
      <c r="L100" s="12">
        <f t="shared" si="52"/>
        <v>699889.46</v>
      </c>
      <c r="M100" s="12">
        <f t="shared" si="53"/>
        <v>428588.54000000004</v>
      </c>
      <c r="N100" s="13"/>
      <c r="O100" s="12">
        <f t="shared" si="54"/>
        <v>106183478</v>
      </c>
      <c r="P100" s="12">
        <f t="shared" si="54"/>
        <v>67226678.379999995</v>
      </c>
      <c r="Q100" s="14">
        <f t="shared" si="55"/>
        <v>38956799.620000005</v>
      </c>
      <c r="R100" s="17">
        <f t="shared" si="56"/>
        <v>0.63311806738897736</v>
      </c>
    </row>
    <row r="101" spans="2:18" ht="24.95" hidden="1" customHeight="1">
      <c r="B101" s="64" t="s">
        <v>168</v>
      </c>
      <c r="C101" s="12">
        <f t="shared" si="57"/>
        <v>114737000</v>
      </c>
      <c r="D101" s="12">
        <f t="shared" si="48"/>
        <v>95435817.800000012</v>
      </c>
      <c r="E101" s="12">
        <f t="shared" si="49"/>
        <v>19301182.199999988</v>
      </c>
      <c r="F101" s="13"/>
      <c r="G101" s="12">
        <f t="shared" si="58"/>
        <v>0</v>
      </c>
      <c r="H101" s="12">
        <f t="shared" si="50"/>
        <v>0</v>
      </c>
      <c r="I101" s="12">
        <f t="shared" si="51"/>
        <v>0</v>
      </c>
      <c r="J101" s="12"/>
      <c r="K101" s="12">
        <f t="shared" si="59"/>
        <v>0</v>
      </c>
      <c r="L101" s="12">
        <f t="shared" si="52"/>
        <v>0</v>
      </c>
      <c r="M101" s="12">
        <f t="shared" si="53"/>
        <v>0</v>
      </c>
      <c r="N101" s="13"/>
      <c r="O101" s="12">
        <f t="shared" si="54"/>
        <v>114737000</v>
      </c>
      <c r="P101" s="12">
        <f t="shared" si="54"/>
        <v>95435817.800000012</v>
      </c>
      <c r="Q101" s="14">
        <f t="shared" si="55"/>
        <v>19301182.199999988</v>
      </c>
      <c r="R101" s="17">
        <f t="shared" si="56"/>
        <v>0.8317789187446073</v>
      </c>
    </row>
    <row r="102" spans="2:18" ht="24.95" hidden="1" customHeight="1">
      <c r="B102" s="64" t="s">
        <v>169</v>
      </c>
      <c r="C102" s="12">
        <f t="shared" si="57"/>
        <v>86667000</v>
      </c>
      <c r="D102" s="12">
        <f t="shared" si="48"/>
        <v>64683974.339999996</v>
      </c>
      <c r="E102" s="12">
        <f t="shared" si="49"/>
        <v>21983025.660000004</v>
      </c>
      <c r="F102" s="13"/>
      <c r="G102" s="12">
        <f t="shared" si="58"/>
        <v>0</v>
      </c>
      <c r="H102" s="12">
        <f t="shared" si="50"/>
        <v>0</v>
      </c>
      <c r="I102" s="12">
        <f t="shared" si="51"/>
        <v>0</v>
      </c>
      <c r="J102" s="12"/>
      <c r="K102" s="12">
        <f t="shared" si="59"/>
        <v>1258121</v>
      </c>
      <c r="L102" s="12">
        <f t="shared" si="52"/>
        <v>1258120.74</v>
      </c>
      <c r="M102" s="12">
        <f t="shared" si="53"/>
        <v>0.26000000000931323</v>
      </c>
      <c r="N102" s="13"/>
      <c r="O102" s="12">
        <f t="shared" si="54"/>
        <v>87925121</v>
      </c>
      <c r="P102" s="12">
        <f t="shared" si="54"/>
        <v>65942095.079999998</v>
      </c>
      <c r="Q102" s="14">
        <f t="shared" si="55"/>
        <v>21983025.920000002</v>
      </c>
      <c r="R102" s="17">
        <f t="shared" si="56"/>
        <v>0.74998014594714058</v>
      </c>
    </row>
    <row r="103" spans="2:18" s="48" customFormat="1" ht="24.95" hidden="1" customHeight="1">
      <c r="B103" s="72" t="s">
        <v>180</v>
      </c>
      <c r="C103" s="32">
        <f>SUM(C94:C102)</f>
        <v>9394716891.8299999</v>
      </c>
      <c r="D103" s="32">
        <f>SUM(D94:D102)</f>
        <v>7804930848.5800009</v>
      </c>
      <c r="E103" s="32">
        <f t="shared" si="49"/>
        <v>1589786043.249999</v>
      </c>
      <c r="F103" s="33"/>
      <c r="G103" s="32">
        <f>SUM(G94:G102)</f>
        <v>679831872.61000001</v>
      </c>
      <c r="H103" s="32">
        <f>SUM(H94:H102)</f>
        <v>676174218.60000002</v>
      </c>
      <c r="I103" s="32">
        <f t="shared" si="51"/>
        <v>3657654.0099999905</v>
      </c>
      <c r="J103" s="32"/>
      <c r="K103" s="32">
        <f>SUM(K94:K102)</f>
        <v>407146366.21000004</v>
      </c>
      <c r="L103" s="32">
        <f>SUM(L94:L102)</f>
        <v>406474355.86999995</v>
      </c>
      <c r="M103" s="32">
        <f t="shared" si="53"/>
        <v>672010.34000009298</v>
      </c>
      <c r="N103" s="33"/>
      <c r="O103" s="32">
        <f t="shared" si="54"/>
        <v>10481695130.650002</v>
      </c>
      <c r="P103" s="32">
        <f t="shared" si="54"/>
        <v>8887579423.0500011</v>
      </c>
      <c r="Q103" s="34">
        <f t="shared" si="55"/>
        <v>1594115707.6000004</v>
      </c>
      <c r="R103" s="65">
        <f t="shared" si="56"/>
        <v>0.84791432227993602</v>
      </c>
    </row>
    <row r="104" spans="2:18" ht="24.95" hidden="1" customHeight="1">
      <c r="B104" s="66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4"/>
      <c r="R104" s="34"/>
    </row>
    <row r="105" spans="2:18" ht="24.95" customHeight="1">
      <c r="B105" s="70" t="s">
        <v>157</v>
      </c>
      <c r="C105" s="12"/>
      <c r="D105" s="12"/>
      <c r="E105" s="12"/>
      <c r="F105" s="13"/>
      <c r="G105" s="12"/>
      <c r="H105" s="12"/>
      <c r="I105" s="12"/>
      <c r="J105" s="12"/>
      <c r="K105" s="12"/>
      <c r="L105" s="12"/>
      <c r="M105" s="12"/>
      <c r="N105" s="13"/>
      <c r="O105" s="12"/>
      <c r="P105" s="12"/>
      <c r="Q105" s="14"/>
      <c r="R105" s="17"/>
    </row>
    <row r="106" spans="2:18" ht="24.95" customHeight="1">
      <c r="B106" s="64" t="s">
        <v>14</v>
      </c>
      <c r="C106" s="12">
        <f>+july!F8</f>
        <v>2487776529.1999998</v>
      </c>
      <c r="D106" s="12">
        <f>+july!G8</f>
        <v>641929014.99000001</v>
      </c>
      <c r="E106" s="12">
        <f t="shared" ref="E106:E115" si="60">+C106-D106</f>
        <v>1845847514.2099998</v>
      </c>
      <c r="F106" s="13"/>
      <c r="G106" s="12">
        <f>+july!J8</f>
        <v>0</v>
      </c>
      <c r="H106" s="12">
        <f>+july!K8</f>
        <v>0</v>
      </c>
      <c r="I106" s="12">
        <f t="shared" ref="I106:I115" si="61">+G106-H106</f>
        <v>0</v>
      </c>
      <c r="J106" s="12"/>
      <c r="K106" s="12">
        <f>+july!N8</f>
        <v>120373</v>
      </c>
      <c r="L106" s="12">
        <f>+july!O8</f>
        <v>528887.15</v>
      </c>
      <c r="M106" s="12">
        <f t="shared" ref="M106:M115" si="62">+K106-L106</f>
        <v>-408514.15</v>
      </c>
      <c r="N106" s="13"/>
      <c r="O106" s="12">
        <f t="shared" ref="O106:P115" si="63">+C106+G106+K106</f>
        <v>2487896902.1999998</v>
      </c>
      <c r="P106" s="12">
        <f t="shared" si="63"/>
        <v>642457902.13999999</v>
      </c>
      <c r="Q106" s="14">
        <f t="shared" ref="Q106:Q115" si="64">+O106-P106</f>
        <v>1845439000.0599999</v>
      </c>
      <c r="R106" s="17">
        <f t="shared" ref="R106:R115" si="65">+P106/O106</f>
        <v>0.25823333015603933</v>
      </c>
    </row>
    <row r="107" spans="2:18" ht="24.95" hidden="1" customHeight="1">
      <c r="B107" s="64" t="s">
        <v>172</v>
      </c>
      <c r="C107" s="12">
        <f>+SUM(july!F13:F17)+SUM(july!F35:F46)</f>
        <v>700548663.38</v>
      </c>
      <c r="D107" s="12">
        <f>+SUM(july!G13:G17)+SUM(july!G35:G46)</f>
        <v>424828910.37000012</v>
      </c>
      <c r="E107" s="12">
        <f t="shared" si="60"/>
        <v>275719753.00999987</v>
      </c>
      <c r="F107" s="13"/>
      <c r="G107" s="12">
        <f>+SUM(july!J13:J17)+SUM(july!J35:J46)</f>
        <v>25837011.539999999</v>
      </c>
      <c r="H107" s="12">
        <f>+SUM(july!K13:K17)+SUM(july!K35:K46)</f>
        <v>21064296.469999999</v>
      </c>
      <c r="I107" s="12">
        <f t="shared" si="61"/>
        <v>4772715.07</v>
      </c>
      <c r="J107" s="12"/>
      <c r="K107" s="12">
        <f>+SUM(july!N13:N17)+SUM(july!N35:N46)</f>
        <v>5650296.8900000006</v>
      </c>
      <c r="L107" s="12">
        <f>+SUM(july!O13:O17)+SUM(july!O35:O46)</f>
        <v>4832537.8099999996</v>
      </c>
      <c r="M107" s="12">
        <f t="shared" si="62"/>
        <v>817759.08000000101</v>
      </c>
      <c r="N107" s="13"/>
      <c r="O107" s="12">
        <f t="shared" si="63"/>
        <v>732035971.80999994</v>
      </c>
      <c r="P107" s="12">
        <f t="shared" si="63"/>
        <v>450725744.65000015</v>
      </c>
      <c r="Q107" s="14">
        <f t="shared" si="64"/>
        <v>281310227.15999979</v>
      </c>
      <c r="R107" s="17">
        <f t="shared" si="65"/>
        <v>0.61571529543221148</v>
      </c>
    </row>
    <row r="108" spans="2:18" ht="24.95" hidden="1" customHeight="1">
      <c r="B108" s="64" t="s">
        <v>170</v>
      </c>
      <c r="C108" s="12">
        <f>+july!F53+SUM(july!F20:F32)</f>
        <v>1148229362.3</v>
      </c>
      <c r="D108" s="12">
        <f>+july!G53+SUM(july!G20:G32)</f>
        <v>559013340.63999999</v>
      </c>
      <c r="E108" s="12">
        <f t="shared" si="60"/>
        <v>589216021.65999997</v>
      </c>
      <c r="F108" s="13"/>
      <c r="G108" s="12">
        <f>+july!J53+SUM(july!J20:J32)</f>
        <v>58553319.259999998</v>
      </c>
      <c r="H108" s="12">
        <f>+july!K53+SUM(july!K20:K32)</f>
        <v>22792667.809999999</v>
      </c>
      <c r="I108" s="12">
        <f t="shared" si="61"/>
        <v>35760651.450000003</v>
      </c>
      <c r="J108" s="12"/>
      <c r="K108" s="12">
        <f>+july!N53+SUM(july!N20:N32)</f>
        <v>65839398.700000003</v>
      </c>
      <c r="L108" s="12">
        <f>+july!O53+SUM(july!O20:O32)</f>
        <v>24165923.540000003</v>
      </c>
      <c r="M108" s="12">
        <f t="shared" si="62"/>
        <v>41673475.159999996</v>
      </c>
      <c r="N108" s="13"/>
      <c r="O108" s="12">
        <f t="shared" si="63"/>
        <v>1272622080.26</v>
      </c>
      <c r="P108" s="12">
        <f t="shared" si="63"/>
        <v>605971931.98999989</v>
      </c>
      <c r="Q108" s="14">
        <f t="shared" si="64"/>
        <v>666650148.2700001</v>
      </c>
      <c r="R108" s="17">
        <f t="shared" si="65"/>
        <v>0.47616015892651986</v>
      </c>
    </row>
    <row r="109" spans="2:18" ht="24.95" hidden="1" customHeight="1">
      <c r="B109" s="64" t="s">
        <v>164</v>
      </c>
      <c r="C109" s="12">
        <f>+july!F83</f>
        <v>292485476</v>
      </c>
      <c r="D109" s="12">
        <f>+july!G83</f>
        <v>191552116.52000001</v>
      </c>
      <c r="E109" s="12">
        <f t="shared" si="60"/>
        <v>100933359.47999999</v>
      </c>
      <c r="F109" s="13"/>
      <c r="G109" s="12">
        <f>+july!J83</f>
        <v>117651530</v>
      </c>
      <c r="H109" s="12">
        <f>+july!K83</f>
        <v>69280966.629999995</v>
      </c>
      <c r="I109" s="12">
        <f t="shared" si="61"/>
        <v>48370563.370000005</v>
      </c>
      <c r="J109" s="12"/>
      <c r="K109" s="12">
        <f>+july!N83</f>
        <v>1022045.79</v>
      </c>
      <c r="L109" s="12">
        <f>+july!O83</f>
        <v>6167944.1600000001</v>
      </c>
      <c r="M109" s="12">
        <f t="shared" si="62"/>
        <v>-5145898.37</v>
      </c>
      <c r="N109" s="13"/>
      <c r="O109" s="12">
        <f t="shared" si="63"/>
        <v>411159051.79000002</v>
      </c>
      <c r="P109" s="12">
        <f t="shared" si="63"/>
        <v>267001027.31</v>
      </c>
      <c r="Q109" s="14">
        <f t="shared" si="64"/>
        <v>144158024.48000002</v>
      </c>
      <c r="R109" s="17">
        <f t="shared" si="65"/>
        <v>0.64938623179423782</v>
      </c>
    </row>
    <row r="110" spans="2:18" ht="24.95" hidden="1" customHeight="1">
      <c r="B110" s="64" t="s">
        <v>165</v>
      </c>
      <c r="C110" s="12">
        <f>july!F106</f>
        <v>830975991</v>
      </c>
      <c r="D110" s="12">
        <f>july!G106</f>
        <v>253569820.73000002</v>
      </c>
      <c r="E110" s="12">
        <f t="shared" si="60"/>
        <v>577406170.26999998</v>
      </c>
      <c r="F110" s="13"/>
      <c r="G110" s="12">
        <f>july!J106</f>
        <v>30300000</v>
      </c>
      <c r="H110" s="12">
        <f>july!K106</f>
        <v>14663403.220000001</v>
      </c>
      <c r="I110" s="12">
        <f t="shared" si="61"/>
        <v>15636596.779999999</v>
      </c>
      <c r="J110" s="12"/>
      <c r="K110" s="12">
        <f>july!N106</f>
        <v>13043793</v>
      </c>
      <c r="L110" s="12">
        <f>july!O106</f>
        <v>7404872.6099999994</v>
      </c>
      <c r="M110" s="12">
        <f t="shared" si="62"/>
        <v>5638920.3900000006</v>
      </c>
      <c r="N110" s="13"/>
      <c r="O110" s="12">
        <f t="shared" si="63"/>
        <v>874319784</v>
      </c>
      <c r="P110" s="12">
        <f t="shared" si="63"/>
        <v>275638096.56</v>
      </c>
      <c r="Q110" s="14">
        <f t="shared" si="64"/>
        <v>598681687.44000006</v>
      </c>
      <c r="R110" s="17">
        <f t="shared" si="65"/>
        <v>0.31526004741532876</v>
      </c>
    </row>
    <row r="111" spans="2:18" ht="24.95" hidden="1" customHeight="1">
      <c r="B111" s="64" t="s">
        <v>166</v>
      </c>
      <c r="C111" s="12">
        <f>+july!F49</f>
        <v>16807000</v>
      </c>
      <c r="D111" s="12">
        <f>+july!G49</f>
        <v>4106278.46</v>
      </c>
      <c r="E111" s="12">
        <f t="shared" si="60"/>
        <v>12700721.539999999</v>
      </c>
      <c r="F111" s="13"/>
      <c r="G111" s="12">
        <f>+july!J49</f>
        <v>0</v>
      </c>
      <c r="H111" s="12">
        <f>+july!K49</f>
        <v>0</v>
      </c>
      <c r="I111" s="12">
        <f t="shared" si="61"/>
        <v>0</v>
      </c>
      <c r="J111" s="12"/>
      <c r="K111" s="12">
        <f>+july!N49</f>
        <v>0</v>
      </c>
      <c r="L111" s="12">
        <f>+july!O49</f>
        <v>0</v>
      </c>
      <c r="M111" s="12">
        <f t="shared" si="62"/>
        <v>0</v>
      </c>
      <c r="N111" s="13"/>
      <c r="O111" s="12">
        <f t="shared" si="63"/>
        <v>16807000</v>
      </c>
      <c r="P111" s="12">
        <f t="shared" si="63"/>
        <v>4106278.46</v>
      </c>
      <c r="Q111" s="14">
        <f t="shared" si="64"/>
        <v>12700721.539999999</v>
      </c>
      <c r="R111" s="17">
        <f t="shared" si="65"/>
        <v>0.24431953709763787</v>
      </c>
    </row>
    <row r="112" spans="2:18" ht="24.95" hidden="1" customHeight="1">
      <c r="B112" s="64" t="s">
        <v>167</v>
      </c>
      <c r="C112" s="12">
        <f>+july!F50</f>
        <v>25020000</v>
      </c>
      <c r="D112" s="12">
        <f>+july!G50</f>
        <v>16320580.91</v>
      </c>
      <c r="E112" s="12">
        <f t="shared" si="60"/>
        <v>8699419.0899999999</v>
      </c>
      <c r="F112" s="13"/>
      <c r="G112" s="12">
        <f>+july!J50</f>
        <v>0</v>
      </c>
      <c r="H112" s="12">
        <f>+july!K50</f>
        <v>0</v>
      </c>
      <c r="I112" s="12">
        <f t="shared" si="61"/>
        <v>0</v>
      </c>
      <c r="J112" s="12"/>
      <c r="K112" s="12">
        <f>+july!N50</f>
        <v>0</v>
      </c>
      <c r="L112" s="12">
        <f>+july!O50</f>
        <v>0</v>
      </c>
      <c r="M112" s="12">
        <f t="shared" si="62"/>
        <v>0</v>
      </c>
      <c r="N112" s="13"/>
      <c r="O112" s="12">
        <f t="shared" si="63"/>
        <v>25020000</v>
      </c>
      <c r="P112" s="12">
        <f t="shared" si="63"/>
        <v>16320580.91</v>
      </c>
      <c r="Q112" s="14">
        <f t="shared" si="64"/>
        <v>8699419.0899999999</v>
      </c>
      <c r="R112" s="17">
        <f t="shared" si="65"/>
        <v>0.65230139528377296</v>
      </c>
    </row>
    <row r="113" spans="2:18" ht="24.95" hidden="1" customHeight="1">
      <c r="B113" s="64" t="s">
        <v>168</v>
      </c>
      <c r="C113" s="12">
        <f>+july!F140</f>
        <v>50310000</v>
      </c>
      <c r="D113" s="12">
        <f>+july!G140</f>
        <v>19554925.93</v>
      </c>
      <c r="E113" s="12">
        <f t="shared" si="60"/>
        <v>30755074.07</v>
      </c>
      <c r="F113" s="13"/>
      <c r="G113" s="12">
        <f>+july!J140</f>
        <v>0</v>
      </c>
      <c r="H113" s="12">
        <f>+july!K140</f>
        <v>0</v>
      </c>
      <c r="I113" s="12">
        <f t="shared" si="61"/>
        <v>0</v>
      </c>
      <c r="J113" s="12"/>
      <c r="K113" s="12">
        <f>+july!N140</f>
        <v>0</v>
      </c>
      <c r="L113" s="12">
        <f>+july!O140</f>
        <v>0</v>
      </c>
      <c r="M113" s="12">
        <f t="shared" si="62"/>
        <v>0</v>
      </c>
      <c r="N113" s="13"/>
      <c r="O113" s="12">
        <f t="shared" si="63"/>
        <v>50310000</v>
      </c>
      <c r="P113" s="12">
        <f t="shared" si="63"/>
        <v>19554925.93</v>
      </c>
      <c r="Q113" s="14">
        <f t="shared" si="64"/>
        <v>30755074.07</v>
      </c>
      <c r="R113" s="17">
        <f t="shared" si="65"/>
        <v>0.38868864897634664</v>
      </c>
    </row>
    <row r="114" spans="2:18" ht="24.95" hidden="1" customHeight="1">
      <c r="B114" s="64" t="s">
        <v>169</v>
      </c>
      <c r="C114" s="12">
        <f>+july!F141</f>
        <v>24760000</v>
      </c>
      <c r="D114" s="12">
        <f>+july!G141</f>
        <v>14097488.939999999</v>
      </c>
      <c r="E114" s="12">
        <f t="shared" si="60"/>
        <v>10662511.060000001</v>
      </c>
      <c r="F114" s="13"/>
      <c r="G114" s="12">
        <f>+july!J141</f>
        <v>0</v>
      </c>
      <c r="H114" s="12">
        <f>+july!K141</f>
        <v>0</v>
      </c>
      <c r="I114" s="12">
        <f t="shared" si="61"/>
        <v>0</v>
      </c>
      <c r="J114" s="12"/>
      <c r="K114" s="12">
        <f>+july!N141</f>
        <v>0</v>
      </c>
      <c r="L114" s="12">
        <f>+july!O141</f>
        <v>0</v>
      </c>
      <c r="M114" s="12">
        <f t="shared" si="62"/>
        <v>0</v>
      </c>
      <c r="N114" s="13"/>
      <c r="O114" s="12">
        <f t="shared" si="63"/>
        <v>24760000</v>
      </c>
      <c r="P114" s="12">
        <f t="shared" si="63"/>
        <v>14097488.939999999</v>
      </c>
      <c r="Q114" s="14">
        <f t="shared" si="64"/>
        <v>10662511.060000001</v>
      </c>
      <c r="R114" s="17">
        <f t="shared" si="65"/>
        <v>0.56936546607431338</v>
      </c>
    </row>
    <row r="115" spans="2:18" ht="24.95" hidden="1" customHeight="1">
      <c r="B115" s="71" t="s">
        <v>188</v>
      </c>
      <c r="C115" s="12">
        <f>SUM(C106:C114)</f>
        <v>5576913021.8800001</v>
      </c>
      <c r="D115" s="12">
        <f>SUM(D106:D114)</f>
        <v>2124972477.4900002</v>
      </c>
      <c r="E115" s="12">
        <f t="shared" si="60"/>
        <v>3451940544.3899999</v>
      </c>
      <c r="F115" s="13"/>
      <c r="G115" s="12">
        <f>SUM(G106:G114)</f>
        <v>232341860.80000001</v>
      </c>
      <c r="H115" s="12">
        <f>SUM(H106:H114)</f>
        <v>127801334.13</v>
      </c>
      <c r="I115" s="12">
        <f t="shared" si="61"/>
        <v>104540526.67000002</v>
      </c>
      <c r="J115" s="12"/>
      <c r="K115" s="12">
        <f>SUM(K106:K114)</f>
        <v>85675907.38000001</v>
      </c>
      <c r="L115" s="12">
        <f>SUM(L106:L114)</f>
        <v>43100165.270000003</v>
      </c>
      <c r="M115" s="12">
        <f t="shared" si="62"/>
        <v>42575742.110000007</v>
      </c>
      <c r="N115" s="13"/>
      <c r="O115" s="12">
        <f t="shared" si="63"/>
        <v>5894930790.0600004</v>
      </c>
      <c r="P115" s="12">
        <f t="shared" si="63"/>
        <v>2295873976.8900003</v>
      </c>
      <c r="Q115" s="14">
        <f t="shared" si="64"/>
        <v>3599056813.1700001</v>
      </c>
      <c r="R115" s="17">
        <f t="shared" si="65"/>
        <v>0.38946580692029331</v>
      </c>
    </row>
    <row r="116" spans="2:18" ht="24.95" hidden="1" customHeight="1">
      <c r="B116" s="67"/>
      <c r="C116" s="12"/>
      <c r="D116" s="12"/>
      <c r="E116" s="12"/>
      <c r="F116" s="13"/>
      <c r="G116" s="12"/>
      <c r="H116" s="12"/>
      <c r="I116" s="12"/>
      <c r="J116" s="12"/>
      <c r="K116" s="12"/>
      <c r="L116" s="12"/>
      <c r="M116" s="12"/>
      <c r="N116" s="13"/>
      <c r="O116" s="12"/>
      <c r="P116" s="12"/>
      <c r="Q116" s="68"/>
      <c r="R116" s="17"/>
    </row>
    <row r="117" spans="2:18" ht="24.95" customHeight="1">
      <c r="B117" s="70" t="s">
        <v>158</v>
      </c>
      <c r="C117" s="12"/>
      <c r="D117" s="12"/>
      <c r="E117" s="12"/>
      <c r="F117" s="13"/>
      <c r="G117" s="12"/>
      <c r="H117" s="12"/>
      <c r="I117" s="12"/>
      <c r="J117" s="12"/>
      <c r="K117" s="12"/>
      <c r="L117" s="12"/>
      <c r="M117" s="12"/>
      <c r="N117" s="13"/>
      <c r="O117" s="12"/>
      <c r="P117" s="12"/>
      <c r="Q117" s="14"/>
      <c r="R117" s="17"/>
    </row>
    <row r="118" spans="2:18" ht="24.95" customHeight="1">
      <c r="B118" s="64" t="s">
        <v>14</v>
      </c>
      <c r="C118" s="12">
        <f>+august!F8</f>
        <v>2682942706</v>
      </c>
      <c r="D118" s="12">
        <f>+august!G8</f>
        <v>753499674.17999995</v>
      </c>
      <c r="E118" s="12">
        <f t="shared" ref="E118:E127" si="66">+C118-D118</f>
        <v>1929443031.8200002</v>
      </c>
      <c r="F118" s="13"/>
      <c r="G118" s="12">
        <f>+august!J8</f>
        <v>0</v>
      </c>
      <c r="H118" s="12">
        <f>+august!K8</f>
        <v>0</v>
      </c>
      <c r="I118" s="12">
        <f t="shared" ref="I118:I127" si="67">+G118-H118</f>
        <v>0</v>
      </c>
      <c r="J118" s="12"/>
      <c r="K118" s="12">
        <f>+august!N8</f>
        <v>982993</v>
      </c>
      <c r="L118" s="12">
        <f>+august!O8</f>
        <v>1084380.79</v>
      </c>
      <c r="M118" s="12">
        <f t="shared" ref="M118:M127" si="68">+K118-L118</f>
        <v>-101387.79000000004</v>
      </c>
      <c r="N118" s="13"/>
      <c r="O118" s="12">
        <f t="shared" ref="O118:P127" si="69">+C118+G118+K118</f>
        <v>2683925699</v>
      </c>
      <c r="P118" s="12">
        <f t="shared" si="69"/>
        <v>754584054.96999991</v>
      </c>
      <c r="Q118" s="14">
        <f t="shared" ref="Q118:Q127" si="70">+O118-P118</f>
        <v>1929341644.0300002</v>
      </c>
      <c r="R118" s="17">
        <f t="shared" ref="R118:R127" si="71">+P118/O118</f>
        <v>0.28114938325272915</v>
      </c>
    </row>
    <row r="119" spans="2:18" ht="24.95" hidden="1" customHeight="1">
      <c r="B119" s="64" t="s">
        <v>172</v>
      </c>
      <c r="C119" s="12">
        <f>+SUM(august!F13:F17)+SUM(august!F35:F46)</f>
        <v>687893399.38</v>
      </c>
      <c r="D119" s="12">
        <f>+SUM(august!G13:G17)+SUM(august!G35:G46)</f>
        <v>488718410.46000004</v>
      </c>
      <c r="E119" s="12">
        <f t="shared" si="66"/>
        <v>199174988.91999996</v>
      </c>
      <c r="F119" s="13"/>
      <c r="G119" s="12">
        <f>+SUM(august!J13:J17)+SUM(august!J35:J46)</f>
        <v>12735026</v>
      </c>
      <c r="H119" s="12">
        <f>+SUM(august!K13:K17)+SUM(august!K35:K46)</f>
        <v>17507464.57</v>
      </c>
      <c r="I119" s="12">
        <f t="shared" si="67"/>
        <v>-4772438.57</v>
      </c>
      <c r="J119" s="12"/>
      <c r="K119" s="12">
        <f>+SUM(august!N13:N17)+SUM(august!N35:N46)</f>
        <v>7245277</v>
      </c>
      <c r="L119" s="12">
        <f>+SUM(august!O13:O17)+SUM(august!O35:O46)</f>
        <v>4058080.66</v>
      </c>
      <c r="M119" s="12">
        <f t="shared" si="68"/>
        <v>3187196.34</v>
      </c>
      <c r="N119" s="13"/>
      <c r="O119" s="12">
        <f t="shared" si="69"/>
        <v>707873702.38</v>
      </c>
      <c r="P119" s="12">
        <f t="shared" si="69"/>
        <v>510283955.69000006</v>
      </c>
      <c r="Q119" s="14">
        <f t="shared" si="70"/>
        <v>197589746.68999994</v>
      </c>
      <c r="R119" s="17">
        <f t="shared" si="71"/>
        <v>0.72086864362150016</v>
      </c>
    </row>
    <row r="120" spans="2:18" ht="24.95" hidden="1" customHeight="1">
      <c r="B120" s="64" t="s">
        <v>170</v>
      </c>
      <c r="C120" s="12">
        <f>+august!F53+SUM(august!F20:F32)</f>
        <v>863931193.35000002</v>
      </c>
      <c r="D120" s="12">
        <f>+august!G53+SUM(august!G20:G32)</f>
        <v>430572817.76999998</v>
      </c>
      <c r="E120" s="12">
        <f t="shared" si="66"/>
        <v>433358375.58000004</v>
      </c>
      <c r="F120" s="13"/>
      <c r="G120" s="12">
        <f>+august!J53+SUM(august!J20:J32)</f>
        <v>60411628</v>
      </c>
      <c r="H120" s="12">
        <f>+august!K53+SUM(august!K20:K32)</f>
        <v>42877331.700000003</v>
      </c>
      <c r="I120" s="12">
        <f t="shared" si="67"/>
        <v>17534296.299999997</v>
      </c>
      <c r="J120" s="12"/>
      <c r="K120" s="12">
        <f>+august!N53+SUM(august!N20:N32)</f>
        <v>103301729.59</v>
      </c>
      <c r="L120" s="12">
        <f>+august!O53+SUM(august!O20:O32)</f>
        <v>28471374.639999997</v>
      </c>
      <c r="M120" s="12">
        <f t="shared" si="68"/>
        <v>74830354.950000003</v>
      </c>
      <c r="N120" s="13"/>
      <c r="O120" s="12">
        <f t="shared" si="69"/>
        <v>1027644550.9400001</v>
      </c>
      <c r="P120" s="12">
        <f t="shared" si="69"/>
        <v>501921524.10999995</v>
      </c>
      <c r="Q120" s="14">
        <f t="shared" si="70"/>
        <v>525723026.8300001</v>
      </c>
      <c r="R120" s="17">
        <f t="shared" si="71"/>
        <v>0.48841938941911939</v>
      </c>
    </row>
    <row r="121" spans="2:18" ht="24.95" hidden="1" customHeight="1">
      <c r="B121" s="64" t="s">
        <v>164</v>
      </c>
      <c r="C121" s="12">
        <f>+august!F83</f>
        <v>273590224</v>
      </c>
      <c r="D121" s="12">
        <f>+august!G83</f>
        <v>211001600.69999996</v>
      </c>
      <c r="E121" s="12">
        <f t="shared" si="66"/>
        <v>62588623.300000042</v>
      </c>
      <c r="F121" s="13"/>
      <c r="G121" s="12">
        <f>+august!J83</f>
        <v>166846310</v>
      </c>
      <c r="H121" s="12">
        <f>+august!K83</f>
        <v>52501409.689999998</v>
      </c>
      <c r="I121" s="12">
        <f t="shared" si="67"/>
        <v>114344900.31</v>
      </c>
      <c r="J121" s="12"/>
      <c r="K121" s="12">
        <f>+august!N83</f>
        <v>6788696.5300000003</v>
      </c>
      <c r="L121" s="12">
        <f>+august!O83</f>
        <v>15008472.309999999</v>
      </c>
      <c r="M121" s="12">
        <f t="shared" si="68"/>
        <v>-8219775.7799999984</v>
      </c>
      <c r="N121" s="13"/>
      <c r="O121" s="12">
        <f t="shared" si="69"/>
        <v>447225230.52999997</v>
      </c>
      <c r="P121" s="12">
        <f t="shared" si="69"/>
        <v>278511482.69999993</v>
      </c>
      <c r="Q121" s="14">
        <f t="shared" si="70"/>
        <v>168713747.83000004</v>
      </c>
      <c r="R121" s="17">
        <f t="shared" si="71"/>
        <v>0.62275440580563868</v>
      </c>
    </row>
    <row r="122" spans="2:18" ht="24.95" hidden="1" customHeight="1">
      <c r="B122" s="64" t="s">
        <v>165</v>
      </c>
      <c r="C122" s="12">
        <f>august!F106</f>
        <v>399934802.61999995</v>
      </c>
      <c r="D122" s="12">
        <f>august!G106</f>
        <v>289254994.69999999</v>
      </c>
      <c r="E122" s="12">
        <f t="shared" si="66"/>
        <v>110679807.91999996</v>
      </c>
      <c r="F122" s="13"/>
      <c r="G122" s="12">
        <f>august!J106</f>
        <v>34141330</v>
      </c>
      <c r="H122" s="12">
        <f>august!K106</f>
        <v>16978996.469999999</v>
      </c>
      <c r="I122" s="12">
        <f t="shared" si="67"/>
        <v>17162333.530000001</v>
      </c>
      <c r="J122" s="12"/>
      <c r="K122" s="12">
        <f>august!N106</f>
        <v>29307553.489999998</v>
      </c>
      <c r="L122" s="12">
        <f>august!O106</f>
        <v>24345892.98</v>
      </c>
      <c r="M122" s="12">
        <f t="shared" si="68"/>
        <v>4961660.5099999979</v>
      </c>
      <c r="N122" s="13"/>
      <c r="O122" s="12">
        <f t="shared" si="69"/>
        <v>463383686.10999995</v>
      </c>
      <c r="P122" s="12">
        <f t="shared" si="69"/>
        <v>330579884.14999998</v>
      </c>
      <c r="Q122" s="14">
        <f t="shared" si="70"/>
        <v>132803801.95999998</v>
      </c>
      <c r="R122" s="17">
        <f t="shared" si="71"/>
        <v>0.71340423510620865</v>
      </c>
    </row>
    <row r="123" spans="2:18" ht="24.95" hidden="1" customHeight="1">
      <c r="B123" s="64" t="s">
        <v>166</v>
      </c>
      <c r="C123" s="12">
        <f>+august!F49</f>
        <v>11486000</v>
      </c>
      <c r="D123" s="12">
        <f>+august!G49</f>
        <v>10455245.6</v>
      </c>
      <c r="E123" s="12">
        <f t="shared" si="66"/>
        <v>1030754.4000000004</v>
      </c>
      <c r="F123" s="13"/>
      <c r="G123" s="12">
        <f>+august!J49</f>
        <v>0</v>
      </c>
      <c r="H123" s="12">
        <f>+august!K49</f>
        <v>0</v>
      </c>
      <c r="I123" s="12">
        <f t="shared" si="67"/>
        <v>0</v>
      </c>
      <c r="J123" s="12"/>
      <c r="K123" s="12">
        <f>+august!N49</f>
        <v>0</v>
      </c>
      <c r="L123" s="12">
        <f>+august!O49</f>
        <v>0</v>
      </c>
      <c r="M123" s="12">
        <f t="shared" si="68"/>
        <v>0</v>
      </c>
      <c r="N123" s="13"/>
      <c r="O123" s="12">
        <f t="shared" si="69"/>
        <v>11486000</v>
      </c>
      <c r="P123" s="12">
        <f t="shared" si="69"/>
        <v>10455245.6</v>
      </c>
      <c r="Q123" s="14">
        <f t="shared" si="70"/>
        <v>1030754.4000000004</v>
      </c>
      <c r="R123" s="17">
        <f t="shared" si="71"/>
        <v>0.91025993383249171</v>
      </c>
    </row>
    <row r="124" spans="2:18" ht="24.95" hidden="1" customHeight="1">
      <c r="B124" s="64" t="s">
        <v>167</v>
      </c>
      <c r="C124" s="12">
        <f>+august!F50</f>
        <v>23988000</v>
      </c>
      <c r="D124" s="12">
        <f>+august!G50</f>
        <v>26340225.960000001</v>
      </c>
      <c r="E124" s="12">
        <f t="shared" si="66"/>
        <v>-2352225.9600000009</v>
      </c>
      <c r="F124" s="13"/>
      <c r="G124" s="12">
        <f>+august!J50</f>
        <v>0</v>
      </c>
      <c r="H124" s="12">
        <f>+august!K50</f>
        <v>0</v>
      </c>
      <c r="I124" s="12">
        <f t="shared" si="67"/>
        <v>0</v>
      </c>
      <c r="J124" s="12"/>
      <c r="K124" s="12">
        <f>+august!N50</f>
        <v>0</v>
      </c>
      <c r="L124" s="12">
        <f>+august!O50</f>
        <v>0</v>
      </c>
      <c r="M124" s="12">
        <f t="shared" si="68"/>
        <v>0</v>
      </c>
      <c r="N124" s="13"/>
      <c r="O124" s="12">
        <f t="shared" si="69"/>
        <v>23988000</v>
      </c>
      <c r="P124" s="12">
        <f t="shared" si="69"/>
        <v>26340225.960000001</v>
      </c>
      <c r="Q124" s="14">
        <f t="shared" si="70"/>
        <v>-2352225.9600000009</v>
      </c>
      <c r="R124" s="17">
        <f t="shared" si="71"/>
        <v>1.0980584442221111</v>
      </c>
    </row>
    <row r="125" spans="2:18" ht="24.95" hidden="1" customHeight="1">
      <c r="B125" s="64" t="s">
        <v>168</v>
      </c>
      <c r="C125" s="12">
        <f>+august!F140</f>
        <v>37499000</v>
      </c>
      <c r="D125" s="12">
        <f>+august!G140</f>
        <v>17905561.199999999</v>
      </c>
      <c r="E125" s="12">
        <f t="shared" si="66"/>
        <v>19593438.800000001</v>
      </c>
      <c r="F125" s="13"/>
      <c r="G125" s="12">
        <f>+august!J140</f>
        <v>0</v>
      </c>
      <c r="H125" s="12">
        <f>+august!K140</f>
        <v>0</v>
      </c>
      <c r="I125" s="12">
        <f t="shared" si="67"/>
        <v>0</v>
      </c>
      <c r="J125" s="12"/>
      <c r="K125" s="12">
        <f>+august!N140</f>
        <v>0</v>
      </c>
      <c r="L125" s="12">
        <f>+august!O140</f>
        <v>0</v>
      </c>
      <c r="M125" s="12">
        <f t="shared" si="68"/>
        <v>0</v>
      </c>
      <c r="N125" s="13"/>
      <c r="O125" s="12">
        <f t="shared" si="69"/>
        <v>37499000</v>
      </c>
      <c r="P125" s="12">
        <f t="shared" si="69"/>
        <v>17905561.199999999</v>
      </c>
      <c r="Q125" s="14">
        <f t="shared" si="70"/>
        <v>19593438.800000001</v>
      </c>
      <c r="R125" s="17">
        <f t="shared" si="71"/>
        <v>0.47749436518307153</v>
      </c>
    </row>
    <row r="126" spans="2:18" ht="24.95" hidden="1" customHeight="1">
      <c r="B126" s="64" t="s">
        <v>169</v>
      </c>
      <c r="C126" s="12">
        <f>+august!F141</f>
        <v>24501000</v>
      </c>
      <c r="D126" s="12">
        <f>+august!G141</f>
        <v>19439840.09</v>
      </c>
      <c r="E126" s="12">
        <f t="shared" si="66"/>
        <v>5061159.91</v>
      </c>
      <c r="F126" s="13"/>
      <c r="G126" s="12">
        <f>+august!J141</f>
        <v>0</v>
      </c>
      <c r="H126" s="12">
        <f>+august!K141</f>
        <v>0</v>
      </c>
      <c r="I126" s="12">
        <f t="shared" si="67"/>
        <v>0</v>
      </c>
      <c r="J126" s="12"/>
      <c r="K126" s="12">
        <f>+august!N141</f>
        <v>0</v>
      </c>
      <c r="L126" s="12">
        <f>+august!O141</f>
        <v>0</v>
      </c>
      <c r="M126" s="12">
        <f t="shared" si="68"/>
        <v>0</v>
      </c>
      <c r="N126" s="13"/>
      <c r="O126" s="12">
        <f t="shared" si="69"/>
        <v>24501000</v>
      </c>
      <c r="P126" s="12">
        <f t="shared" si="69"/>
        <v>19439840.09</v>
      </c>
      <c r="Q126" s="14">
        <f t="shared" si="70"/>
        <v>5061159.91</v>
      </c>
      <c r="R126" s="17">
        <f t="shared" si="71"/>
        <v>0.79343047589894289</v>
      </c>
    </row>
    <row r="127" spans="2:18" ht="24.95" hidden="1" customHeight="1">
      <c r="B127" s="71" t="s">
        <v>189</v>
      </c>
      <c r="C127" s="12">
        <f>SUM(C118:C126)</f>
        <v>5005766325.3499994</v>
      </c>
      <c r="D127" s="12">
        <f>SUM(D118:D126)</f>
        <v>2247188370.6599998</v>
      </c>
      <c r="E127" s="12">
        <f t="shared" si="66"/>
        <v>2758577954.6899996</v>
      </c>
      <c r="F127" s="13"/>
      <c r="G127" s="12">
        <f>SUM(G118:G126)</f>
        <v>274134294</v>
      </c>
      <c r="H127" s="12">
        <f>SUM(H118:H126)</f>
        <v>129865202.43000001</v>
      </c>
      <c r="I127" s="12">
        <f t="shared" si="67"/>
        <v>144269091.56999999</v>
      </c>
      <c r="J127" s="12"/>
      <c r="K127" s="12">
        <f>SUM(K118:K126)</f>
        <v>147626249.61000001</v>
      </c>
      <c r="L127" s="12">
        <f>SUM(L118:L126)</f>
        <v>72968201.379999995</v>
      </c>
      <c r="M127" s="12">
        <f t="shared" si="68"/>
        <v>74658048.230000019</v>
      </c>
      <c r="N127" s="13"/>
      <c r="O127" s="12">
        <f t="shared" si="69"/>
        <v>5427526868.9599991</v>
      </c>
      <c r="P127" s="12">
        <f t="shared" si="69"/>
        <v>2450021774.4699998</v>
      </c>
      <c r="Q127" s="14">
        <f t="shared" si="70"/>
        <v>2977505094.4899993</v>
      </c>
      <c r="R127" s="17">
        <f t="shared" si="71"/>
        <v>0.45140665972225086</v>
      </c>
    </row>
    <row r="128" spans="2:18" ht="24.95" hidden="1" customHeight="1">
      <c r="B128" s="71"/>
      <c r="C128" s="12"/>
      <c r="D128" s="12"/>
      <c r="E128" s="12"/>
      <c r="F128" s="13"/>
      <c r="G128" s="12"/>
      <c r="H128" s="12"/>
      <c r="I128" s="12"/>
      <c r="J128" s="12"/>
      <c r="K128" s="12"/>
      <c r="L128" s="12"/>
      <c r="M128" s="12"/>
      <c r="N128" s="13"/>
      <c r="O128" s="12"/>
      <c r="P128" s="12"/>
      <c r="Q128" s="14"/>
      <c r="R128" s="17"/>
    </row>
    <row r="129" spans="2:18" ht="24.95" customHeight="1">
      <c r="B129" s="70" t="s">
        <v>159</v>
      </c>
      <c r="C129" s="12"/>
      <c r="D129" s="12"/>
      <c r="E129" s="12"/>
      <c r="F129" s="13"/>
      <c r="G129" s="12"/>
      <c r="H129" s="12"/>
      <c r="I129" s="12"/>
      <c r="J129" s="12"/>
      <c r="K129" s="12"/>
      <c r="L129" s="12"/>
      <c r="M129" s="12"/>
      <c r="N129" s="13"/>
      <c r="O129" s="12"/>
      <c r="P129" s="12"/>
      <c r="Q129" s="14"/>
      <c r="R129" s="17"/>
    </row>
    <row r="130" spans="2:18" ht="24.95" customHeight="1">
      <c r="B130" s="64" t="s">
        <v>14</v>
      </c>
      <c r="C130" s="12">
        <f>+september!F8</f>
        <v>1375684279.99</v>
      </c>
      <c r="D130" s="12">
        <f>+september!G8</f>
        <v>2362981795.8899999</v>
      </c>
      <c r="E130" s="12">
        <f t="shared" ref="E130:E139" si="72">+C130-D130</f>
        <v>-987297515.89999986</v>
      </c>
      <c r="F130" s="13"/>
      <c r="G130" s="12">
        <f>+september!J8</f>
        <v>0</v>
      </c>
      <c r="H130" s="12">
        <f>+september!K8</f>
        <v>0</v>
      </c>
      <c r="I130" s="12">
        <f t="shared" ref="I130:I139" si="73">+G130-H130</f>
        <v>0</v>
      </c>
      <c r="J130" s="12"/>
      <c r="K130" s="12">
        <f>+september!N8</f>
        <v>3145376.58</v>
      </c>
      <c r="L130" s="12">
        <f>+september!O8</f>
        <v>2497817.46</v>
      </c>
      <c r="M130" s="12">
        <f t="shared" ref="M130:M139" si="74">+K130-L130</f>
        <v>647559.12000000011</v>
      </c>
      <c r="N130" s="13"/>
      <c r="O130" s="12">
        <f t="shared" ref="O130:P139" si="75">+C130+G130+K130</f>
        <v>1378829656.5699999</v>
      </c>
      <c r="P130" s="12">
        <f t="shared" si="75"/>
        <v>2365479613.3499999</v>
      </c>
      <c r="Q130" s="14">
        <f t="shared" ref="Q130:Q139" si="76">+O130-P130</f>
        <v>-986649956.77999997</v>
      </c>
      <c r="R130" s="17">
        <f t="shared" ref="R130:R139" si="77">+P130/O130</f>
        <v>1.715570594292559</v>
      </c>
    </row>
    <row r="131" spans="2:18" ht="24.95" hidden="1" customHeight="1">
      <c r="B131" s="64" t="s">
        <v>172</v>
      </c>
      <c r="C131" s="12">
        <f>+SUM(september!F13:F17)+SUM(september!F35:F46)</f>
        <v>670479394.47000003</v>
      </c>
      <c r="D131" s="12">
        <f>+SUM(september!G13:G17)+SUM(september!G35:G46)</f>
        <v>677752868.48999989</v>
      </c>
      <c r="E131" s="12">
        <f t="shared" si="72"/>
        <v>-7273474.0199998617</v>
      </c>
      <c r="F131" s="13"/>
      <c r="G131" s="12">
        <f>+SUM(september!J13:J17)+SUM(september!J35:J46)</f>
        <v>187902943.55000001</v>
      </c>
      <c r="H131" s="12">
        <f>+SUM(september!K13:K17)+SUM(september!K35:K46)</f>
        <v>179199841.32999998</v>
      </c>
      <c r="I131" s="12">
        <f t="shared" si="73"/>
        <v>8703102.2200000286</v>
      </c>
      <c r="J131" s="12"/>
      <c r="K131" s="12">
        <f>+SUM(september!N13:N17)+SUM(september!N35:N46)</f>
        <v>6028138</v>
      </c>
      <c r="L131" s="12">
        <f>+SUM(september!O13:O17)+SUM(september!O35:O46)</f>
        <v>20163870.289999999</v>
      </c>
      <c r="M131" s="12">
        <f t="shared" si="74"/>
        <v>-14135732.289999999</v>
      </c>
      <c r="N131" s="13"/>
      <c r="O131" s="12">
        <f t="shared" si="75"/>
        <v>864410476.01999998</v>
      </c>
      <c r="P131" s="12">
        <f t="shared" si="75"/>
        <v>877116580.1099999</v>
      </c>
      <c r="Q131" s="14">
        <f t="shared" si="76"/>
        <v>-12706104.089999914</v>
      </c>
      <c r="R131" s="17">
        <f t="shared" si="77"/>
        <v>1.0146991556008236</v>
      </c>
    </row>
    <row r="132" spans="2:18" ht="24.95" hidden="1" customHeight="1">
      <c r="B132" s="64" t="s">
        <v>170</v>
      </c>
      <c r="C132" s="12">
        <f>+september!F53+SUM(september!F20:F32)</f>
        <v>761367122.28999996</v>
      </c>
      <c r="D132" s="12">
        <f>+september!G53+SUM(september!G20:G32)</f>
        <v>1022980817.9485711</v>
      </c>
      <c r="E132" s="12">
        <f t="shared" si="72"/>
        <v>-261613695.65857112</v>
      </c>
      <c r="F132" s="13"/>
      <c r="G132" s="12">
        <f>+september!J53+SUM(september!J20:J32)</f>
        <v>70958426</v>
      </c>
      <c r="H132" s="12">
        <f>+september!K53+SUM(september!K20:K32)</f>
        <v>115291224.88999999</v>
      </c>
      <c r="I132" s="12">
        <f t="shared" si="73"/>
        <v>-44332798.889999986</v>
      </c>
      <c r="J132" s="12"/>
      <c r="K132" s="12">
        <f>+september!N53+SUM(september!N20:N32)</f>
        <v>66648425.710000001</v>
      </c>
      <c r="L132" s="12">
        <f>+september!O53+SUM(september!O20:O32)</f>
        <v>65648011.200000003</v>
      </c>
      <c r="M132" s="12">
        <f t="shared" si="74"/>
        <v>1000414.5099999979</v>
      </c>
      <c r="N132" s="13"/>
      <c r="O132" s="12">
        <f t="shared" si="75"/>
        <v>898973974</v>
      </c>
      <c r="P132" s="12">
        <f t="shared" si="75"/>
        <v>1203920054.0385711</v>
      </c>
      <c r="Q132" s="14">
        <f t="shared" si="76"/>
        <v>-304946080.03857112</v>
      </c>
      <c r="R132" s="17">
        <f t="shared" si="77"/>
        <v>1.3392156935108013</v>
      </c>
    </row>
    <row r="133" spans="2:18" ht="24.95" hidden="1" customHeight="1">
      <c r="B133" s="64" t="s">
        <v>164</v>
      </c>
      <c r="C133" s="12">
        <f>+september!F83</f>
        <v>316096993</v>
      </c>
      <c r="D133" s="12">
        <f>+september!G83</f>
        <v>406839906.98000008</v>
      </c>
      <c r="E133" s="12">
        <f t="shared" si="72"/>
        <v>-90742913.980000079</v>
      </c>
      <c r="F133" s="13"/>
      <c r="G133" s="12">
        <f>+september!J83</f>
        <v>74778000</v>
      </c>
      <c r="H133" s="12">
        <f>+september!K83</f>
        <v>189628818.25999999</v>
      </c>
      <c r="I133" s="12">
        <f t="shared" si="73"/>
        <v>-114850818.25999999</v>
      </c>
      <c r="J133" s="12"/>
      <c r="K133" s="12">
        <f>+september!N83</f>
        <v>198485.93</v>
      </c>
      <c r="L133" s="12">
        <f>+september!O83</f>
        <v>8498728.3300000001</v>
      </c>
      <c r="M133" s="12">
        <f t="shared" si="74"/>
        <v>-8300242.4000000004</v>
      </c>
      <c r="N133" s="13"/>
      <c r="O133" s="12">
        <f t="shared" si="75"/>
        <v>391073478.93000001</v>
      </c>
      <c r="P133" s="12">
        <f t="shared" si="75"/>
        <v>604967453.57000005</v>
      </c>
      <c r="Q133" s="14">
        <f t="shared" si="76"/>
        <v>-213893974.64000005</v>
      </c>
      <c r="R133" s="17">
        <f t="shared" si="77"/>
        <v>1.5469406292270866</v>
      </c>
    </row>
    <row r="134" spans="2:18" ht="24.95" hidden="1" customHeight="1">
      <c r="B134" s="64" t="s">
        <v>165</v>
      </c>
      <c r="C134" s="12">
        <f>september!F106</f>
        <v>441415386.73000002</v>
      </c>
      <c r="D134" s="12">
        <f>september!G106</f>
        <v>767850233.61000001</v>
      </c>
      <c r="E134" s="12">
        <f t="shared" si="72"/>
        <v>-326434846.88</v>
      </c>
      <c r="F134" s="13"/>
      <c r="G134" s="12">
        <f>september!J106</f>
        <v>73672500</v>
      </c>
      <c r="H134" s="12">
        <f>september!K106</f>
        <v>93102036.339999989</v>
      </c>
      <c r="I134" s="12">
        <f t="shared" si="73"/>
        <v>-19429536.339999989</v>
      </c>
      <c r="J134" s="12"/>
      <c r="K134" s="12">
        <f>september!N106</f>
        <v>23504294.990000002</v>
      </c>
      <c r="L134" s="12">
        <f>september!O106</f>
        <v>33593676.509999998</v>
      </c>
      <c r="M134" s="12">
        <f t="shared" si="74"/>
        <v>-10089381.519999996</v>
      </c>
      <c r="N134" s="13"/>
      <c r="O134" s="12">
        <f t="shared" si="75"/>
        <v>538592181.72000003</v>
      </c>
      <c r="P134" s="12">
        <f t="shared" si="75"/>
        <v>894545946.46000004</v>
      </c>
      <c r="Q134" s="14">
        <f t="shared" si="76"/>
        <v>-355953764.74000001</v>
      </c>
      <c r="R134" s="17">
        <f t="shared" si="77"/>
        <v>1.6608966428054299</v>
      </c>
    </row>
    <row r="135" spans="2:18" ht="24.95" hidden="1" customHeight="1">
      <c r="B135" s="64" t="s">
        <v>166</v>
      </c>
      <c r="C135" s="12">
        <f>+september!F49</f>
        <v>11306000</v>
      </c>
      <c r="D135" s="12">
        <f>+september!G49</f>
        <v>25037300.859999999</v>
      </c>
      <c r="E135" s="12">
        <f t="shared" si="72"/>
        <v>-13731300.859999999</v>
      </c>
      <c r="F135" s="13"/>
      <c r="G135" s="12">
        <f>+september!J49</f>
        <v>4230000</v>
      </c>
      <c r="H135" s="12">
        <f>+september!K49</f>
        <v>4230000</v>
      </c>
      <c r="I135" s="12">
        <f t="shared" si="73"/>
        <v>0</v>
      </c>
      <c r="J135" s="12"/>
      <c r="K135" s="12">
        <f>+september!N49</f>
        <v>0</v>
      </c>
      <c r="L135" s="12">
        <f>+september!O49</f>
        <v>0</v>
      </c>
      <c r="M135" s="12">
        <f t="shared" si="74"/>
        <v>0</v>
      </c>
      <c r="N135" s="13"/>
      <c r="O135" s="12">
        <f t="shared" si="75"/>
        <v>15536000</v>
      </c>
      <c r="P135" s="12">
        <f t="shared" si="75"/>
        <v>29267300.859999999</v>
      </c>
      <c r="Q135" s="14">
        <f t="shared" si="76"/>
        <v>-13731300.859999999</v>
      </c>
      <c r="R135" s="17">
        <f t="shared" si="77"/>
        <v>1.8838375939752832</v>
      </c>
    </row>
    <row r="136" spans="2:18" ht="24.95" hidden="1" customHeight="1">
      <c r="B136" s="64" t="s">
        <v>167</v>
      </c>
      <c r="C136" s="12">
        <f>+september!F50</f>
        <v>32914000</v>
      </c>
      <c r="D136" s="12">
        <f>+september!G50</f>
        <v>26297274.960000001</v>
      </c>
      <c r="E136" s="12">
        <f t="shared" si="72"/>
        <v>6616725.0399999991</v>
      </c>
      <c r="F136" s="13"/>
      <c r="G136" s="12">
        <f>+september!J50</f>
        <v>2325000</v>
      </c>
      <c r="H136" s="12">
        <f>+september!K50</f>
        <v>2240000</v>
      </c>
      <c r="I136" s="12">
        <f t="shared" si="73"/>
        <v>85000</v>
      </c>
      <c r="J136" s="12"/>
      <c r="K136" s="12">
        <f>+september!N50</f>
        <v>0</v>
      </c>
      <c r="L136" s="12">
        <f>+september!O50</f>
        <v>0</v>
      </c>
      <c r="M136" s="12">
        <f t="shared" si="74"/>
        <v>0</v>
      </c>
      <c r="N136" s="13"/>
      <c r="O136" s="12">
        <f t="shared" si="75"/>
        <v>35239000</v>
      </c>
      <c r="P136" s="12">
        <f t="shared" si="75"/>
        <v>28537274.960000001</v>
      </c>
      <c r="Q136" s="14">
        <f t="shared" si="76"/>
        <v>6701725.0399999991</v>
      </c>
      <c r="R136" s="17">
        <f t="shared" si="77"/>
        <v>0.80982079400664042</v>
      </c>
    </row>
    <row r="137" spans="2:18" ht="24.95" hidden="1" customHeight="1">
      <c r="B137" s="64" t="s">
        <v>168</v>
      </c>
      <c r="C137" s="12">
        <f>+september!F140</f>
        <v>42572000</v>
      </c>
      <c r="D137" s="12">
        <f>+september!G140</f>
        <v>21061814.280000001</v>
      </c>
      <c r="E137" s="12">
        <f t="shared" si="72"/>
        <v>21510185.719999999</v>
      </c>
      <c r="F137" s="13"/>
      <c r="G137" s="12">
        <f>+september!J140</f>
        <v>0</v>
      </c>
      <c r="H137" s="12">
        <f>+september!K140</f>
        <v>0</v>
      </c>
      <c r="I137" s="12">
        <f t="shared" si="73"/>
        <v>0</v>
      </c>
      <c r="J137" s="12"/>
      <c r="K137" s="12">
        <f>+september!N140</f>
        <v>0</v>
      </c>
      <c r="L137" s="12">
        <f>+september!O140</f>
        <v>0</v>
      </c>
      <c r="M137" s="12">
        <f t="shared" si="74"/>
        <v>0</v>
      </c>
      <c r="N137" s="13"/>
      <c r="O137" s="12">
        <f t="shared" si="75"/>
        <v>42572000</v>
      </c>
      <c r="P137" s="12">
        <f t="shared" si="75"/>
        <v>21061814.280000001</v>
      </c>
      <c r="Q137" s="14">
        <f t="shared" si="76"/>
        <v>21510185.719999999</v>
      </c>
      <c r="R137" s="17">
        <f t="shared" si="77"/>
        <v>0.49473396316827967</v>
      </c>
    </row>
    <row r="138" spans="2:18" ht="24.95" hidden="1" customHeight="1">
      <c r="B138" s="64" t="s">
        <v>169</v>
      </c>
      <c r="C138" s="12">
        <f>+september!F141</f>
        <v>26102500</v>
      </c>
      <c r="D138" s="12">
        <f>+september!G141</f>
        <v>25180789.510000002</v>
      </c>
      <c r="E138" s="12">
        <f t="shared" si="72"/>
        <v>921710.48999999836</v>
      </c>
      <c r="F138" s="13"/>
      <c r="G138" s="12">
        <f>+september!J141</f>
        <v>0</v>
      </c>
      <c r="H138" s="12">
        <f>+september!K141</f>
        <v>0</v>
      </c>
      <c r="I138" s="12">
        <f t="shared" si="73"/>
        <v>0</v>
      </c>
      <c r="J138" s="12"/>
      <c r="K138" s="12">
        <f>+september!N141</f>
        <v>0</v>
      </c>
      <c r="L138" s="12">
        <f>+september!O141</f>
        <v>0</v>
      </c>
      <c r="M138" s="12">
        <f t="shared" si="74"/>
        <v>0</v>
      </c>
      <c r="N138" s="13"/>
      <c r="O138" s="12">
        <f t="shared" si="75"/>
        <v>26102500</v>
      </c>
      <c r="P138" s="12">
        <f t="shared" si="75"/>
        <v>25180789.510000002</v>
      </c>
      <c r="Q138" s="14">
        <f t="shared" si="76"/>
        <v>921710.48999999836</v>
      </c>
      <c r="R138" s="17">
        <f t="shared" si="77"/>
        <v>0.96468880413753477</v>
      </c>
    </row>
    <row r="139" spans="2:18" ht="24.95" hidden="1" customHeight="1">
      <c r="B139" s="71" t="s">
        <v>190</v>
      </c>
      <c r="C139" s="12">
        <f>SUM(C130:C138)</f>
        <v>3677937676.48</v>
      </c>
      <c r="D139" s="12">
        <f>SUM(D130:D138)</f>
        <v>5335982802.5285702</v>
      </c>
      <c r="E139" s="12">
        <f t="shared" si="72"/>
        <v>-1658045126.0485702</v>
      </c>
      <c r="F139" s="13"/>
      <c r="G139" s="12">
        <f>SUM(G130:G138)</f>
        <v>413866869.55000001</v>
      </c>
      <c r="H139" s="12">
        <f>SUM(H130:H138)</f>
        <v>583691920.81999993</v>
      </c>
      <c r="I139" s="12">
        <f t="shared" si="73"/>
        <v>-169825051.26999992</v>
      </c>
      <c r="J139" s="12"/>
      <c r="K139" s="12">
        <f>SUM(K130:K138)</f>
        <v>99524721.210000008</v>
      </c>
      <c r="L139" s="12">
        <f>SUM(L130:L138)</f>
        <v>130402103.78999999</v>
      </c>
      <c r="M139" s="12">
        <f t="shared" si="74"/>
        <v>-30877382.579999983</v>
      </c>
      <c r="N139" s="13"/>
      <c r="O139" s="12">
        <f t="shared" si="75"/>
        <v>4191329267.2400002</v>
      </c>
      <c r="P139" s="12">
        <f t="shared" si="75"/>
        <v>6050076827.1385698</v>
      </c>
      <c r="Q139" s="14">
        <f t="shared" si="76"/>
        <v>-1858747559.8985696</v>
      </c>
      <c r="R139" s="17">
        <f t="shared" si="77"/>
        <v>1.4434744782345768</v>
      </c>
    </row>
    <row r="140" spans="2:18" ht="24.95" hidden="1" customHeight="1">
      <c r="B140" s="71"/>
      <c r="C140" s="12"/>
      <c r="D140" s="12"/>
      <c r="E140" s="12"/>
      <c r="F140" s="13"/>
      <c r="G140" s="12"/>
      <c r="H140" s="12"/>
      <c r="I140" s="12"/>
      <c r="J140" s="12"/>
      <c r="K140" s="12"/>
      <c r="L140" s="12"/>
      <c r="M140" s="12"/>
      <c r="N140" s="13"/>
      <c r="O140" s="12"/>
      <c r="P140" s="12"/>
      <c r="Q140" s="14"/>
      <c r="R140" s="17"/>
    </row>
    <row r="141" spans="2:18" ht="24.95" customHeight="1">
      <c r="B141" s="73" t="s">
        <v>191</v>
      </c>
      <c r="C141" s="12"/>
      <c r="D141" s="12"/>
      <c r="E141" s="12"/>
      <c r="F141" s="13"/>
      <c r="G141" s="12"/>
      <c r="H141" s="12"/>
      <c r="I141" s="12"/>
      <c r="J141" s="12"/>
      <c r="K141" s="12"/>
      <c r="L141" s="12"/>
      <c r="M141" s="12"/>
      <c r="N141" s="13"/>
      <c r="O141" s="12"/>
      <c r="P141" s="12"/>
      <c r="Q141" s="14"/>
      <c r="R141" s="17"/>
    </row>
    <row r="142" spans="2:18" ht="24.95" customHeight="1">
      <c r="B142" s="64" t="s">
        <v>14</v>
      </c>
      <c r="C142" s="12">
        <f>+C106+C118+C130</f>
        <v>6546403515.1899996</v>
      </c>
      <c r="D142" s="12">
        <f>+D106+D118+D130</f>
        <v>3758410485.0599999</v>
      </c>
      <c r="E142" s="12">
        <f t="shared" ref="E142:E151" si="78">+C142-D142</f>
        <v>2787993030.1299996</v>
      </c>
      <c r="F142" s="13"/>
      <c r="G142" s="12">
        <f>+G106+G118+G130</f>
        <v>0</v>
      </c>
      <c r="H142" s="12">
        <f>+H106+H118+H130</f>
        <v>0</v>
      </c>
      <c r="I142" s="12">
        <f t="shared" ref="I142:I151" si="79">+G142-H142</f>
        <v>0</v>
      </c>
      <c r="J142" s="12"/>
      <c r="K142" s="12">
        <f>+K106+K118+K130</f>
        <v>4248742.58</v>
      </c>
      <c r="L142" s="12">
        <f>+L106+L118+L130</f>
        <v>4111085.4</v>
      </c>
      <c r="M142" s="12">
        <f t="shared" ref="M142:M151" si="80">+K142-L142</f>
        <v>137657.18000000017</v>
      </c>
      <c r="N142" s="13"/>
      <c r="O142" s="12">
        <f t="shared" ref="O142:P151" si="81">+C142+G142+K142</f>
        <v>6550652257.7699995</v>
      </c>
      <c r="P142" s="12">
        <f t="shared" si="81"/>
        <v>3762521570.46</v>
      </c>
      <c r="Q142" s="14">
        <f t="shared" ref="Q142:Q151" si="82">+O142-P142</f>
        <v>2788130687.3099995</v>
      </c>
      <c r="R142" s="17">
        <f t="shared" ref="R142:R151" si="83">+P142/O142</f>
        <v>0.57437357722616367</v>
      </c>
    </row>
    <row r="143" spans="2:18" ht="24.95" hidden="1" customHeight="1">
      <c r="B143" s="64" t="s">
        <v>172</v>
      </c>
      <c r="C143" s="12">
        <f t="shared" ref="C143:D150" si="84">+C107+C119+C131</f>
        <v>2058921457.23</v>
      </c>
      <c r="D143" s="12">
        <f t="shared" si="84"/>
        <v>1591300189.3200002</v>
      </c>
      <c r="E143" s="12">
        <f t="shared" si="78"/>
        <v>467621267.90999985</v>
      </c>
      <c r="F143" s="13"/>
      <c r="G143" s="12">
        <f t="shared" ref="G143:H150" si="85">+G107+G119+G131</f>
        <v>226474981.09</v>
      </c>
      <c r="H143" s="12">
        <f t="shared" si="85"/>
        <v>217771602.36999997</v>
      </c>
      <c r="I143" s="12">
        <f t="shared" si="79"/>
        <v>8703378.7200000286</v>
      </c>
      <c r="J143" s="12"/>
      <c r="K143" s="12">
        <f t="shared" ref="K143:L150" si="86">+K107+K119+K131</f>
        <v>18923711.890000001</v>
      </c>
      <c r="L143" s="12">
        <f t="shared" si="86"/>
        <v>29054488.759999998</v>
      </c>
      <c r="M143" s="12">
        <f t="shared" si="80"/>
        <v>-10130776.869999997</v>
      </c>
      <c r="N143" s="13"/>
      <c r="O143" s="12">
        <f t="shared" si="81"/>
        <v>2304320150.21</v>
      </c>
      <c r="P143" s="12">
        <f t="shared" si="81"/>
        <v>1838126280.45</v>
      </c>
      <c r="Q143" s="14">
        <f t="shared" si="82"/>
        <v>466193869.75999999</v>
      </c>
      <c r="R143" s="17">
        <f t="shared" si="83"/>
        <v>0.79768702290889826</v>
      </c>
    </row>
    <row r="144" spans="2:18" ht="24.95" hidden="1" customHeight="1">
      <c r="B144" s="64" t="s">
        <v>170</v>
      </c>
      <c r="C144" s="12">
        <f t="shared" si="84"/>
        <v>2773527677.9400001</v>
      </c>
      <c r="D144" s="12">
        <f t="shared" si="84"/>
        <v>2012566976.3585711</v>
      </c>
      <c r="E144" s="12">
        <f t="shared" si="78"/>
        <v>760960701.581429</v>
      </c>
      <c r="F144" s="13"/>
      <c r="G144" s="12">
        <f t="shared" si="85"/>
        <v>189923373.25999999</v>
      </c>
      <c r="H144" s="12">
        <f t="shared" si="85"/>
        <v>180961224.39999998</v>
      </c>
      <c r="I144" s="12">
        <f t="shared" si="79"/>
        <v>8962148.8600000143</v>
      </c>
      <c r="J144" s="12"/>
      <c r="K144" s="12">
        <f t="shared" si="86"/>
        <v>235789554.00000003</v>
      </c>
      <c r="L144" s="12">
        <f t="shared" si="86"/>
        <v>118285309.38</v>
      </c>
      <c r="M144" s="12">
        <f t="shared" si="80"/>
        <v>117504244.62000003</v>
      </c>
      <c r="N144" s="13"/>
      <c r="O144" s="12">
        <f t="shared" si="81"/>
        <v>3199240605.1999998</v>
      </c>
      <c r="P144" s="12">
        <f t="shared" si="81"/>
        <v>2311813510.1385713</v>
      </c>
      <c r="Q144" s="14">
        <f t="shared" si="82"/>
        <v>887427095.06142855</v>
      </c>
      <c r="R144" s="17">
        <f t="shared" si="83"/>
        <v>0.72261320589047995</v>
      </c>
    </row>
    <row r="145" spans="2:18" ht="24.95" hidden="1" customHeight="1">
      <c r="B145" s="64" t="s">
        <v>164</v>
      </c>
      <c r="C145" s="12">
        <f t="shared" si="84"/>
        <v>882172693</v>
      </c>
      <c r="D145" s="12">
        <f t="shared" si="84"/>
        <v>809393624.20000005</v>
      </c>
      <c r="E145" s="12">
        <f t="shared" si="78"/>
        <v>72779068.799999952</v>
      </c>
      <c r="F145" s="13"/>
      <c r="G145" s="12">
        <f t="shared" si="85"/>
        <v>359275840</v>
      </c>
      <c r="H145" s="12">
        <f t="shared" si="85"/>
        <v>311411194.57999998</v>
      </c>
      <c r="I145" s="12">
        <f t="shared" si="79"/>
        <v>47864645.420000017</v>
      </c>
      <c r="J145" s="12"/>
      <c r="K145" s="12">
        <f t="shared" si="86"/>
        <v>8009228.25</v>
      </c>
      <c r="L145" s="12">
        <f t="shared" si="86"/>
        <v>29675144.799999997</v>
      </c>
      <c r="M145" s="12">
        <f t="shared" si="80"/>
        <v>-21665916.549999997</v>
      </c>
      <c r="N145" s="13"/>
      <c r="O145" s="12">
        <f t="shared" si="81"/>
        <v>1249457761.25</v>
      </c>
      <c r="P145" s="12">
        <f t="shared" si="81"/>
        <v>1150479963.5799999</v>
      </c>
      <c r="Q145" s="14">
        <f t="shared" si="82"/>
        <v>98977797.670000076</v>
      </c>
      <c r="R145" s="17">
        <f t="shared" si="83"/>
        <v>0.92078339841518186</v>
      </c>
    </row>
    <row r="146" spans="2:18" ht="24.95" hidden="1" customHeight="1">
      <c r="B146" s="64" t="s">
        <v>165</v>
      </c>
      <c r="C146" s="12">
        <f t="shared" si="84"/>
        <v>1672326180.3499999</v>
      </c>
      <c r="D146" s="12">
        <f t="shared" si="84"/>
        <v>1310675049.04</v>
      </c>
      <c r="E146" s="12">
        <f t="shared" si="78"/>
        <v>361651131.30999994</v>
      </c>
      <c r="F146" s="13"/>
      <c r="G146" s="12">
        <f t="shared" si="85"/>
        <v>138113830</v>
      </c>
      <c r="H146" s="12">
        <f t="shared" si="85"/>
        <v>124744436.02999999</v>
      </c>
      <c r="I146" s="12">
        <f t="shared" si="79"/>
        <v>13369393.970000014</v>
      </c>
      <c r="J146" s="12"/>
      <c r="K146" s="12">
        <f t="shared" si="86"/>
        <v>65855641.479999997</v>
      </c>
      <c r="L146" s="12">
        <f t="shared" si="86"/>
        <v>65344442.099999994</v>
      </c>
      <c r="M146" s="12">
        <f t="shared" si="80"/>
        <v>511199.38000000268</v>
      </c>
      <c r="N146" s="13"/>
      <c r="O146" s="12">
        <f t="shared" si="81"/>
        <v>1876295651.8299999</v>
      </c>
      <c r="P146" s="12">
        <f t="shared" si="81"/>
        <v>1500763927.1699998</v>
      </c>
      <c r="Q146" s="14">
        <f t="shared" si="82"/>
        <v>375531724.66000009</v>
      </c>
      <c r="R146" s="17">
        <f t="shared" si="83"/>
        <v>0.79985471676932463</v>
      </c>
    </row>
    <row r="147" spans="2:18" ht="24.95" hidden="1" customHeight="1">
      <c r="B147" s="64" t="s">
        <v>166</v>
      </c>
      <c r="C147" s="12">
        <f t="shared" si="84"/>
        <v>39599000</v>
      </c>
      <c r="D147" s="12">
        <f t="shared" si="84"/>
        <v>39598824.920000002</v>
      </c>
      <c r="E147" s="12">
        <f t="shared" si="78"/>
        <v>175.07999999821186</v>
      </c>
      <c r="F147" s="13"/>
      <c r="G147" s="12">
        <f t="shared" si="85"/>
        <v>4230000</v>
      </c>
      <c r="H147" s="12">
        <f t="shared" si="85"/>
        <v>4230000</v>
      </c>
      <c r="I147" s="12">
        <f t="shared" si="79"/>
        <v>0</v>
      </c>
      <c r="J147" s="12"/>
      <c r="K147" s="12">
        <f t="shared" si="86"/>
        <v>0</v>
      </c>
      <c r="L147" s="12">
        <f t="shared" si="86"/>
        <v>0</v>
      </c>
      <c r="M147" s="12">
        <f t="shared" si="80"/>
        <v>0</v>
      </c>
      <c r="N147" s="13"/>
      <c r="O147" s="12">
        <f t="shared" si="81"/>
        <v>43829000</v>
      </c>
      <c r="P147" s="12">
        <f t="shared" si="81"/>
        <v>43828824.920000002</v>
      </c>
      <c r="Q147" s="14">
        <f t="shared" si="82"/>
        <v>175.07999999821186</v>
      </c>
      <c r="R147" s="17">
        <f t="shared" si="83"/>
        <v>0.99999600538456279</v>
      </c>
    </row>
    <row r="148" spans="2:18" ht="24.95" hidden="1" customHeight="1">
      <c r="B148" s="64" t="s">
        <v>167</v>
      </c>
      <c r="C148" s="12">
        <f t="shared" si="84"/>
        <v>81922000</v>
      </c>
      <c r="D148" s="12">
        <f t="shared" si="84"/>
        <v>68958081.830000013</v>
      </c>
      <c r="E148" s="12">
        <f t="shared" si="78"/>
        <v>12963918.169999987</v>
      </c>
      <c r="F148" s="13"/>
      <c r="G148" s="12">
        <f t="shared" si="85"/>
        <v>2325000</v>
      </c>
      <c r="H148" s="12">
        <f t="shared" si="85"/>
        <v>2240000</v>
      </c>
      <c r="I148" s="12">
        <f t="shared" si="79"/>
        <v>85000</v>
      </c>
      <c r="J148" s="12"/>
      <c r="K148" s="12">
        <f t="shared" si="86"/>
        <v>0</v>
      </c>
      <c r="L148" s="12">
        <f t="shared" si="86"/>
        <v>0</v>
      </c>
      <c r="M148" s="12">
        <f t="shared" si="80"/>
        <v>0</v>
      </c>
      <c r="N148" s="13"/>
      <c r="O148" s="12">
        <f t="shared" si="81"/>
        <v>84247000</v>
      </c>
      <c r="P148" s="12">
        <f t="shared" si="81"/>
        <v>71198081.830000013</v>
      </c>
      <c r="Q148" s="14">
        <f t="shared" si="82"/>
        <v>13048918.169999987</v>
      </c>
      <c r="R148" s="17">
        <f t="shared" si="83"/>
        <v>0.84511118295013488</v>
      </c>
    </row>
    <row r="149" spans="2:18" ht="24.95" hidden="1" customHeight="1">
      <c r="B149" s="64" t="s">
        <v>168</v>
      </c>
      <c r="C149" s="12">
        <f t="shared" si="84"/>
        <v>130381000</v>
      </c>
      <c r="D149" s="12">
        <f t="shared" si="84"/>
        <v>58522301.409999996</v>
      </c>
      <c r="E149" s="12">
        <f t="shared" si="78"/>
        <v>71858698.590000004</v>
      </c>
      <c r="F149" s="13"/>
      <c r="G149" s="12">
        <f t="shared" si="85"/>
        <v>0</v>
      </c>
      <c r="H149" s="12">
        <f t="shared" si="85"/>
        <v>0</v>
      </c>
      <c r="I149" s="12">
        <f t="shared" si="79"/>
        <v>0</v>
      </c>
      <c r="J149" s="12"/>
      <c r="K149" s="12">
        <f t="shared" si="86"/>
        <v>0</v>
      </c>
      <c r="L149" s="12">
        <f t="shared" si="86"/>
        <v>0</v>
      </c>
      <c r="M149" s="12">
        <f t="shared" si="80"/>
        <v>0</v>
      </c>
      <c r="N149" s="13"/>
      <c r="O149" s="12">
        <f t="shared" si="81"/>
        <v>130381000</v>
      </c>
      <c r="P149" s="12">
        <f t="shared" si="81"/>
        <v>58522301.409999996</v>
      </c>
      <c r="Q149" s="14">
        <f t="shared" si="82"/>
        <v>71858698.590000004</v>
      </c>
      <c r="R149" s="17">
        <f t="shared" si="83"/>
        <v>0.44885605579033755</v>
      </c>
    </row>
    <row r="150" spans="2:18" ht="24.95" hidden="1" customHeight="1">
      <c r="B150" s="64" t="s">
        <v>169</v>
      </c>
      <c r="C150" s="12">
        <f t="shared" si="84"/>
        <v>75363500</v>
      </c>
      <c r="D150" s="12">
        <f t="shared" si="84"/>
        <v>58718118.540000007</v>
      </c>
      <c r="E150" s="12">
        <f t="shared" si="78"/>
        <v>16645381.459999993</v>
      </c>
      <c r="F150" s="13"/>
      <c r="G150" s="12">
        <f t="shared" si="85"/>
        <v>0</v>
      </c>
      <c r="H150" s="12">
        <f t="shared" si="85"/>
        <v>0</v>
      </c>
      <c r="I150" s="12">
        <f t="shared" si="79"/>
        <v>0</v>
      </c>
      <c r="J150" s="12"/>
      <c r="K150" s="12">
        <f t="shared" si="86"/>
        <v>0</v>
      </c>
      <c r="L150" s="12">
        <f t="shared" si="86"/>
        <v>0</v>
      </c>
      <c r="M150" s="12">
        <f t="shared" si="80"/>
        <v>0</v>
      </c>
      <c r="N150" s="13"/>
      <c r="O150" s="12">
        <f t="shared" si="81"/>
        <v>75363500</v>
      </c>
      <c r="P150" s="12">
        <f t="shared" si="81"/>
        <v>58718118.540000007</v>
      </c>
      <c r="Q150" s="14">
        <f t="shared" si="82"/>
        <v>16645381.459999993</v>
      </c>
      <c r="R150" s="17">
        <f t="shared" si="83"/>
        <v>0.77913205384569462</v>
      </c>
    </row>
    <row r="151" spans="2:18" s="48" customFormat="1" ht="24.95" hidden="1" customHeight="1">
      <c r="B151" s="72" t="s">
        <v>192</v>
      </c>
      <c r="C151" s="32">
        <f>SUM(C142:C150)</f>
        <v>14260617023.710001</v>
      </c>
      <c r="D151" s="32">
        <f>SUM(D142:D150)</f>
        <v>9708143650.6785717</v>
      </c>
      <c r="E151" s="32">
        <f t="shared" si="78"/>
        <v>4552473373.0314293</v>
      </c>
      <c r="F151" s="33"/>
      <c r="G151" s="32">
        <f>SUM(G142:G150)</f>
        <v>920343024.35000002</v>
      </c>
      <c r="H151" s="32">
        <f>SUM(H142:H150)</f>
        <v>841358457.37999988</v>
      </c>
      <c r="I151" s="32">
        <f t="shared" si="79"/>
        <v>78984566.970000148</v>
      </c>
      <c r="J151" s="32"/>
      <c r="K151" s="32">
        <f>SUM(K142:K150)</f>
        <v>332826878.20000005</v>
      </c>
      <c r="L151" s="32">
        <f>SUM(L142:L150)</f>
        <v>246470470.43999997</v>
      </c>
      <c r="M151" s="32">
        <f t="shared" si="80"/>
        <v>86356407.76000008</v>
      </c>
      <c r="N151" s="33"/>
      <c r="O151" s="32">
        <f t="shared" si="81"/>
        <v>15513786926.260002</v>
      </c>
      <c r="P151" s="32">
        <f t="shared" si="81"/>
        <v>10795972578.498571</v>
      </c>
      <c r="Q151" s="34">
        <f t="shared" si="82"/>
        <v>4717814347.7614307</v>
      </c>
      <c r="R151" s="65">
        <f t="shared" si="83"/>
        <v>0.69589537550141012</v>
      </c>
    </row>
    <row r="152" spans="2:18" ht="24.95" hidden="1" customHeight="1">
      <c r="B152" s="66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4"/>
    </row>
    <row r="153" spans="2:18" ht="24.95" customHeight="1">
      <c r="B153" s="70" t="s">
        <v>160</v>
      </c>
      <c r="C153" s="12"/>
      <c r="D153" s="12"/>
      <c r="E153" s="12"/>
      <c r="F153" s="13"/>
      <c r="G153" s="12"/>
      <c r="H153" s="12"/>
      <c r="I153" s="12"/>
      <c r="J153" s="12"/>
      <c r="K153" s="12"/>
      <c r="L153" s="12"/>
      <c r="M153" s="12"/>
      <c r="N153" s="13"/>
      <c r="O153" s="12"/>
      <c r="P153" s="12"/>
      <c r="Q153" s="14"/>
      <c r="R153" s="17"/>
    </row>
    <row r="154" spans="2:18" ht="24.95" customHeight="1">
      <c r="B154" s="64" t="s">
        <v>14</v>
      </c>
      <c r="C154" s="12">
        <f>+'october '!F8</f>
        <v>3927320121.25</v>
      </c>
      <c r="D154" s="12">
        <f>+'october '!G8</f>
        <v>345479434.89999998</v>
      </c>
      <c r="E154" s="12">
        <f t="shared" ref="E154:E163" si="87">+C154-D154</f>
        <v>3581840686.3499999</v>
      </c>
      <c r="F154" s="13"/>
      <c r="G154" s="12">
        <f>+'october '!J8</f>
        <v>0</v>
      </c>
      <c r="H154" s="12">
        <f>+'october '!K8</f>
        <v>0</v>
      </c>
      <c r="I154" s="12">
        <f t="shared" ref="I154:I163" si="88">+G154-H154</f>
        <v>0</v>
      </c>
      <c r="J154" s="12"/>
      <c r="K154" s="12">
        <f>+'october '!N8</f>
        <v>1215450</v>
      </c>
      <c r="L154" s="12">
        <f>+'october '!O8</f>
        <v>469399.18</v>
      </c>
      <c r="M154" s="12">
        <f t="shared" ref="M154:M163" si="89">+K154-L154</f>
        <v>746050.82000000007</v>
      </c>
      <c r="N154" s="13"/>
      <c r="O154" s="12">
        <f t="shared" ref="O154:P163" si="90">+C154+G154+K154</f>
        <v>3928535571.25</v>
      </c>
      <c r="P154" s="12">
        <f t="shared" si="90"/>
        <v>345948834.07999998</v>
      </c>
      <c r="Q154" s="14">
        <f t="shared" ref="Q154:Q163" si="91">+O154-P154</f>
        <v>3582586737.1700001</v>
      </c>
      <c r="R154" s="17">
        <f t="shared" ref="R154:R163" si="92">+P154/O154</f>
        <v>8.8060506976630065E-2</v>
      </c>
    </row>
    <row r="155" spans="2:18" ht="24.95" hidden="1" customHeight="1">
      <c r="B155" s="64" t="s">
        <v>172</v>
      </c>
      <c r="C155" s="12">
        <f>+SUM('october '!F13:F17)+SUM('october '!F35:F46)</f>
        <v>808297225.11000001</v>
      </c>
      <c r="D155" s="12">
        <f>+SUM('october '!G13:G17)+SUM('october '!G35:G46)</f>
        <v>463245340.24000001</v>
      </c>
      <c r="E155" s="12">
        <f t="shared" si="87"/>
        <v>345051884.87</v>
      </c>
      <c r="F155" s="13"/>
      <c r="G155" s="12">
        <f>+SUM('october '!J13:J17)+SUM('october '!J35:J46)</f>
        <v>32955527.75</v>
      </c>
      <c r="H155" s="12">
        <f>+SUM('october '!K13:K17)+SUM('october '!K35:K46)</f>
        <v>26179629.140000001</v>
      </c>
      <c r="I155" s="12">
        <f t="shared" si="88"/>
        <v>6775898.6099999994</v>
      </c>
      <c r="J155" s="12"/>
      <c r="K155" s="12">
        <f>+SUM('october '!N13:N17)+SUM('october '!N35:N46)</f>
        <v>9202590</v>
      </c>
      <c r="L155" s="12">
        <f>+SUM('october '!O13:O17)+SUM('october '!O35:O46)</f>
        <v>7619660.1099999994</v>
      </c>
      <c r="M155" s="12">
        <f t="shared" si="89"/>
        <v>1582929.8900000006</v>
      </c>
      <c r="N155" s="13"/>
      <c r="O155" s="12">
        <f t="shared" si="90"/>
        <v>850455342.86000001</v>
      </c>
      <c r="P155" s="12">
        <f t="shared" si="90"/>
        <v>497044629.49000001</v>
      </c>
      <c r="Q155" s="14">
        <f t="shared" si="91"/>
        <v>353410713.37</v>
      </c>
      <c r="R155" s="17">
        <f t="shared" si="92"/>
        <v>0.58444530175856901</v>
      </c>
    </row>
    <row r="156" spans="2:18" ht="24.95" hidden="1" customHeight="1">
      <c r="B156" s="64" t="s">
        <v>170</v>
      </c>
      <c r="C156" s="12">
        <f>+'october '!F53+SUM('october '!F20:F32)</f>
        <v>880345223.95857143</v>
      </c>
      <c r="D156" s="12">
        <f>+'october '!G53+SUM('october '!G20:G32)</f>
        <v>541455787.89999998</v>
      </c>
      <c r="E156" s="12">
        <f t="shared" si="87"/>
        <v>338889436.05857146</v>
      </c>
      <c r="F156" s="13"/>
      <c r="G156" s="12">
        <f>+'october '!J53+SUM('october '!J20:J32)</f>
        <v>112395933</v>
      </c>
      <c r="H156" s="12">
        <f>+'october '!K53+SUM('october '!K20:K32)</f>
        <v>52190345.230000004</v>
      </c>
      <c r="I156" s="12">
        <f t="shared" si="88"/>
        <v>60205587.769999996</v>
      </c>
      <c r="J156" s="12"/>
      <c r="K156" s="12">
        <f>+'october '!N53+SUM('october '!N20:N32)</f>
        <v>25011045.039999999</v>
      </c>
      <c r="L156" s="12">
        <f>+'october '!O53+SUM('october '!O20:O32)</f>
        <v>7648770.0899999999</v>
      </c>
      <c r="M156" s="12">
        <f t="shared" si="89"/>
        <v>17362274.949999999</v>
      </c>
      <c r="N156" s="13"/>
      <c r="O156" s="12">
        <f t="shared" si="90"/>
        <v>1017752201.9985714</v>
      </c>
      <c r="P156" s="12">
        <f t="shared" si="90"/>
        <v>601294903.22000003</v>
      </c>
      <c r="Q156" s="14">
        <f t="shared" si="91"/>
        <v>416457298.77857137</v>
      </c>
      <c r="R156" s="17">
        <f t="shared" si="92"/>
        <v>0.5908067818858368</v>
      </c>
    </row>
    <row r="157" spans="2:18" ht="24.95" hidden="1" customHeight="1">
      <c r="B157" s="64" t="s">
        <v>164</v>
      </c>
      <c r="C157" s="12">
        <f>+'october '!F83</f>
        <v>325956774</v>
      </c>
      <c r="D157" s="12">
        <f>+'october '!G83</f>
        <v>206485767.31999999</v>
      </c>
      <c r="E157" s="12">
        <f t="shared" si="87"/>
        <v>119471006.68000001</v>
      </c>
      <c r="F157" s="13"/>
      <c r="G157" s="12">
        <f>+'october '!J83</f>
        <v>220657000</v>
      </c>
      <c r="H157" s="12">
        <f>+'october '!K83</f>
        <v>73294782.209999993</v>
      </c>
      <c r="I157" s="12">
        <f t="shared" si="88"/>
        <v>147362217.79000002</v>
      </c>
      <c r="J157" s="12"/>
      <c r="K157" s="12">
        <f>+'october '!N83</f>
        <v>3335599.13</v>
      </c>
      <c r="L157" s="12">
        <f>+'october '!O83</f>
        <v>8758912.3499999996</v>
      </c>
      <c r="M157" s="12">
        <f t="shared" si="89"/>
        <v>-5423313.2199999997</v>
      </c>
      <c r="N157" s="13"/>
      <c r="O157" s="12">
        <f t="shared" si="90"/>
        <v>549949373.13</v>
      </c>
      <c r="P157" s="12">
        <f t="shared" si="90"/>
        <v>288539461.88</v>
      </c>
      <c r="Q157" s="14">
        <f t="shared" si="91"/>
        <v>261409911.25</v>
      </c>
      <c r="R157" s="17">
        <f t="shared" si="92"/>
        <v>0.5246654982763177</v>
      </c>
    </row>
    <row r="158" spans="2:18" ht="24.95" hidden="1" customHeight="1">
      <c r="B158" s="64" t="s">
        <v>165</v>
      </c>
      <c r="C158" s="12">
        <f>'october '!F106</f>
        <v>682757871.21000004</v>
      </c>
      <c r="D158" s="12">
        <f>'october '!G106</f>
        <v>321301784.99000013</v>
      </c>
      <c r="E158" s="12">
        <f t="shared" si="87"/>
        <v>361456086.21999991</v>
      </c>
      <c r="F158" s="13"/>
      <c r="G158" s="12">
        <f>'october '!J106</f>
        <v>143947418</v>
      </c>
      <c r="H158" s="12">
        <f>'october '!K106</f>
        <v>25100696.900000002</v>
      </c>
      <c r="I158" s="12">
        <f t="shared" si="88"/>
        <v>118846721.09999999</v>
      </c>
      <c r="J158" s="12"/>
      <c r="K158" s="12">
        <f>'october '!N106</f>
        <v>18217006</v>
      </c>
      <c r="L158" s="12">
        <f>'october '!O106</f>
        <v>2731576.09</v>
      </c>
      <c r="M158" s="12">
        <f t="shared" si="89"/>
        <v>15485429.91</v>
      </c>
      <c r="N158" s="13"/>
      <c r="O158" s="12">
        <f t="shared" si="90"/>
        <v>844922295.21000004</v>
      </c>
      <c r="P158" s="12">
        <f t="shared" si="90"/>
        <v>349134057.98000008</v>
      </c>
      <c r="Q158" s="14">
        <f t="shared" si="91"/>
        <v>495788237.22999996</v>
      </c>
      <c r="R158" s="17">
        <f t="shared" si="92"/>
        <v>0.41321439848291025</v>
      </c>
    </row>
    <row r="159" spans="2:18" ht="24.95" hidden="1" customHeight="1">
      <c r="B159" s="64" t="s">
        <v>166</v>
      </c>
      <c r="C159" s="12">
        <f>+'october '!F49</f>
        <v>13727000</v>
      </c>
      <c r="D159" s="12">
        <f>+'october '!G49</f>
        <v>9143985.2200000007</v>
      </c>
      <c r="E159" s="12">
        <f t="shared" si="87"/>
        <v>4583014.7799999993</v>
      </c>
      <c r="F159" s="13"/>
      <c r="G159" s="12">
        <f>+'october '!J49</f>
        <v>0</v>
      </c>
      <c r="H159" s="12">
        <f>+'october '!K49</f>
        <v>0</v>
      </c>
      <c r="I159" s="12">
        <f t="shared" si="88"/>
        <v>0</v>
      </c>
      <c r="J159" s="12"/>
      <c r="K159" s="12">
        <f>+'october '!N49</f>
        <v>0</v>
      </c>
      <c r="L159" s="12">
        <f>+'october '!O49</f>
        <v>0</v>
      </c>
      <c r="M159" s="12">
        <f t="shared" si="89"/>
        <v>0</v>
      </c>
      <c r="N159" s="13"/>
      <c r="O159" s="12">
        <f t="shared" si="90"/>
        <v>13727000</v>
      </c>
      <c r="P159" s="12">
        <f t="shared" si="90"/>
        <v>9143985.2200000007</v>
      </c>
      <c r="Q159" s="14">
        <f t="shared" si="91"/>
        <v>4583014.7799999993</v>
      </c>
      <c r="R159" s="17">
        <f t="shared" si="92"/>
        <v>0.6661313630072121</v>
      </c>
    </row>
    <row r="160" spans="2:18" ht="24.95" hidden="1" customHeight="1">
      <c r="B160" s="64" t="s">
        <v>167</v>
      </c>
      <c r="C160" s="12">
        <f>+'october '!F50</f>
        <v>25073000</v>
      </c>
      <c r="D160" s="12">
        <f>+'october '!G50</f>
        <v>24688448.09</v>
      </c>
      <c r="E160" s="12">
        <f t="shared" si="87"/>
        <v>384551.91000000015</v>
      </c>
      <c r="F160" s="13"/>
      <c r="G160" s="12">
        <f>+'october '!J50</f>
        <v>0</v>
      </c>
      <c r="H160" s="12">
        <f>+'october '!K50</f>
        <v>0</v>
      </c>
      <c r="I160" s="12">
        <f t="shared" si="88"/>
        <v>0</v>
      </c>
      <c r="J160" s="12"/>
      <c r="K160" s="12">
        <f>+'october '!N50</f>
        <v>153292</v>
      </c>
      <c r="L160" s="12">
        <f>+'october '!O50</f>
        <v>153291.62</v>
      </c>
      <c r="M160" s="12">
        <f t="shared" si="89"/>
        <v>0.38000000000465661</v>
      </c>
      <c r="N160" s="13"/>
      <c r="O160" s="12">
        <f t="shared" si="90"/>
        <v>25226292</v>
      </c>
      <c r="P160" s="12">
        <f t="shared" si="90"/>
        <v>24841739.710000001</v>
      </c>
      <c r="Q160" s="14">
        <f t="shared" si="91"/>
        <v>384552.28999999911</v>
      </c>
      <c r="R160" s="17">
        <f t="shared" si="92"/>
        <v>0.98475589317684897</v>
      </c>
    </row>
    <row r="161" spans="2:18" ht="24.95" hidden="1" customHeight="1">
      <c r="B161" s="64" t="s">
        <v>168</v>
      </c>
      <c r="C161" s="12">
        <f>+'october '!F140</f>
        <v>41393500</v>
      </c>
      <c r="D161" s="12">
        <f>+'october '!G140</f>
        <v>21041202.399999999</v>
      </c>
      <c r="E161" s="12">
        <f t="shared" si="87"/>
        <v>20352297.600000001</v>
      </c>
      <c r="F161" s="13"/>
      <c r="G161" s="12">
        <f>+'october '!J140</f>
        <v>0</v>
      </c>
      <c r="H161" s="12">
        <f>+'october '!K140</f>
        <v>0</v>
      </c>
      <c r="I161" s="12">
        <f t="shared" si="88"/>
        <v>0</v>
      </c>
      <c r="J161" s="12"/>
      <c r="K161" s="12">
        <f>+'october '!N140</f>
        <v>0</v>
      </c>
      <c r="L161" s="12">
        <f>+'october '!O140</f>
        <v>0</v>
      </c>
      <c r="M161" s="12">
        <f t="shared" si="89"/>
        <v>0</v>
      </c>
      <c r="N161" s="13"/>
      <c r="O161" s="12">
        <f t="shared" si="90"/>
        <v>41393500</v>
      </c>
      <c r="P161" s="12">
        <f t="shared" si="90"/>
        <v>21041202.399999999</v>
      </c>
      <c r="Q161" s="14">
        <f t="shared" si="91"/>
        <v>20352297.600000001</v>
      </c>
      <c r="R161" s="17">
        <f t="shared" si="92"/>
        <v>0.50832141278220011</v>
      </c>
    </row>
    <row r="162" spans="2:18" ht="24.95" hidden="1" customHeight="1">
      <c r="B162" s="64" t="s">
        <v>169</v>
      </c>
      <c r="C162" s="12">
        <f>+'october '!F141</f>
        <v>22876000</v>
      </c>
      <c r="D162" s="12">
        <f>+'october '!G141</f>
        <v>16852415.23</v>
      </c>
      <c r="E162" s="12">
        <f t="shared" si="87"/>
        <v>6023584.7699999996</v>
      </c>
      <c r="F162" s="13"/>
      <c r="G162" s="12">
        <f>+'october '!J141</f>
        <v>0</v>
      </c>
      <c r="H162" s="12">
        <f>+'october '!K141</f>
        <v>0</v>
      </c>
      <c r="I162" s="12">
        <f t="shared" si="88"/>
        <v>0</v>
      </c>
      <c r="J162" s="12"/>
      <c r="K162" s="12">
        <f>+'october '!N141</f>
        <v>153982</v>
      </c>
      <c r="L162" s="12">
        <f>+'october '!O141</f>
        <v>153982</v>
      </c>
      <c r="M162" s="12">
        <f t="shared" si="89"/>
        <v>0</v>
      </c>
      <c r="N162" s="13"/>
      <c r="O162" s="12">
        <f t="shared" si="90"/>
        <v>23029982</v>
      </c>
      <c r="P162" s="12">
        <f t="shared" si="90"/>
        <v>17006397.23</v>
      </c>
      <c r="Q162" s="14">
        <f t="shared" si="91"/>
        <v>6023584.7699999996</v>
      </c>
      <c r="R162" s="17">
        <f t="shared" si="92"/>
        <v>0.73844596274543339</v>
      </c>
    </row>
    <row r="163" spans="2:18" ht="24.95" hidden="1" customHeight="1">
      <c r="B163" s="71" t="s">
        <v>193</v>
      </c>
      <c r="C163" s="12">
        <f>SUM(C154:C162)</f>
        <v>6727746715.5285711</v>
      </c>
      <c r="D163" s="12">
        <f>SUM(D154:D162)</f>
        <v>1949694166.29</v>
      </c>
      <c r="E163" s="12">
        <f t="shared" si="87"/>
        <v>4778052549.2385712</v>
      </c>
      <c r="F163" s="13"/>
      <c r="G163" s="12">
        <f>SUM(G154:G162)</f>
        <v>509955878.75</v>
      </c>
      <c r="H163" s="12">
        <f>SUM(H154:H162)</f>
        <v>176765453.47999999</v>
      </c>
      <c r="I163" s="12">
        <f t="shared" si="88"/>
        <v>333190425.26999998</v>
      </c>
      <c r="J163" s="12"/>
      <c r="K163" s="12">
        <f>SUM(K154:K162)</f>
        <v>57288964.170000002</v>
      </c>
      <c r="L163" s="12">
        <f>SUM(L154:L162)</f>
        <v>27535591.439999998</v>
      </c>
      <c r="M163" s="12">
        <f t="shared" si="89"/>
        <v>29753372.730000004</v>
      </c>
      <c r="N163" s="13"/>
      <c r="O163" s="12">
        <f t="shared" si="90"/>
        <v>7294991558.4485712</v>
      </c>
      <c r="P163" s="12">
        <f t="shared" si="90"/>
        <v>2153995211.21</v>
      </c>
      <c r="Q163" s="14">
        <f t="shared" si="91"/>
        <v>5140996347.2385712</v>
      </c>
      <c r="R163" s="17">
        <f t="shared" si="92"/>
        <v>0.29527041860869419</v>
      </c>
    </row>
    <row r="164" spans="2:18" ht="24.95" hidden="1" customHeight="1">
      <c r="B164" s="71"/>
      <c r="C164" s="12"/>
      <c r="D164" s="12"/>
      <c r="E164" s="12"/>
      <c r="F164" s="13"/>
      <c r="G164" s="12"/>
      <c r="H164" s="12"/>
      <c r="I164" s="12"/>
      <c r="J164" s="12"/>
      <c r="K164" s="12"/>
      <c r="L164" s="12"/>
      <c r="M164" s="12"/>
      <c r="N164" s="13"/>
      <c r="O164" s="12"/>
      <c r="P164" s="12"/>
      <c r="Q164" s="14"/>
      <c r="R164" s="17"/>
    </row>
    <row r="165" spans="2:18" ht="24.95" hidden="1" customHeight="1">
      <c r="B165" s="70" t="s">
        <v>161</v>
      </c>
      <c r="C165" s="12"/>
      <c r="D165" s="12"/>
      <c r="E165" s="12"/>
      <c r="F165" s="13"/>
      <c r="G165" s="12"/>
      <c r="H165" s="12"/>
      <c r="I165" s="12"/>
      <c r="J165" s="12"/>
      <c r="K165" s="12"/>
      <c r="L165" s="12"/>
      <c r="M165" s="12"/>
      <c r="N165" s="13"/>
      <c r="O165" s="12"/>
      <c r="P165" s="12"/>
      <c r="Q165" s="14"/>
      <c r="R165" s="17"/>
    </row>
    <row r="166" spans="2:18" ht="24.95" hidden="1" customHeight="1">
      <c r="B166" s="64" t="s">
        <v>14</v>
      </c>
      <c r="C166" s="12">
        <f>+november!F8</f>
        <v>3489565351.6199999</v>
      </c>
      <c r="D166" s="12">
        <f>+november!G8</f>
        <v>324111604.63</v>
      </c>
      <c r="E166" s="12">
        <f t="shared" ref="E166:E175" si="93">+C166-D166</f>
        <v>3165453746.9899998</v>
      </c>
      <c r="F166" s="13"/>
      <c r="G166" s="12">
        <f>+november!J8</f>
        <v>0</v>
      </c>
      <c r="H166" s="12">
        <f>+november!K8</f>
        <v>0</v>
      </c>
      <c r="I166" s="12">
        <f t="shared" ref="I166:I175" si="94">+G166-H166</f>
        <v>0</v>
      </c>
      <c r="J166" s="12"/>
      <c r="K166" s="12">
        <f>+november!N8</f>
        <v>809253</v>
      </c>
      <c r="L166" s="12">
        <f>+november!O8</f>
        <v>990683.81</v>
      </c>
      <c r="M166" s="12">
        <f t="shared" ref="M166:M175" si="95">+K166-L166</f>
        <v>-181430.81000000006</v>
      </c>
      <c r="N166" s="13"/>
      <c r="O166" s="12">
        <f t="shared" ref="O166:P175" si="96">+C166+G166+K166</f>
        <v>3490374604.6199999</v>
      </c>
      <c r="P166" s="12">
        <f t="shared" si="96"/>
        <v>325102288.44</v>
      </c>
      <c r="Q166" s="14">
        <f t="shared" ref="Q166:Q175" si="97">+O166-P166</f>
        <v>3165272316.1799998</v>
      </c>
      <c r="R166" s="17">
        <f t="shared" ref="R166:R175" si="98">+P166/O166</f>
        <v>9.3142520579218513E-2</v>
      </c>
    </row>
    <row r="167" spans="2:18" ht="24.95" hidden="1" customHeight="1">
      <c r="B167" s="64" t="s">
        <v>172</v>
      </c>
      <c r="C167" s="12">
        <f>+SUM(november!F13:F17)+SUM(november!F35:F46)</f>
        <v>930629701.5</v>
      </c>
      <c r="D167" s="12">
        <f>+SUM(november!G13:G17)+SUM(november!G35:G46)</f>
        <v>557848534.70000005</v>
      </c>
      <c r="E167" s="12">
        <f t="shared" si="93"/>
        <v>372781166.79999995</v>
      </c>
      <c r="F167" s="13"/>
      <c r="G167" s="12">
        <f>+SUM(november!J13:J17)+SUM(november!J35:J46)</f>
        <v>10880508.76</v>
      </c>
      <c r="H167" s="12">
        <f>+SUM(november!K13:K17)+SUM(november!K35:K46)</f>
        <v>12638375.310000001</v>
      </c>
      <c r="I167" s="12">
        <f t="shared" si="94"/>
        <v>-1757866.5500000007</v>
      </c>
      <c r="J167" s="12"/>
      <c r="K167" s="12">
        <f>+SUM(november!N13:N17)+SUM(november!N35:N46)</f>
        <v>7751753</v>
      </c>
      <c r="L167" s="12">
        <f>+SUM(november!O13:O17)+SUM(november!O35:O46)</f>
        <v>5450080.1299999999</v>
      </c>
      <c r="M167" s="12">
        <f t="shared" si="95"/>
        <v>2301672.87</v>
      </c>
      <c r="N167" s="13"/>
      <c r="O167" s="12">
        <f t="shared" si="96"/>
        <v>949261963.25999999</v>
      </c>
      <c r="P167" s="12">
        <f t="shared" si="96"/>
        <v>575936990.13999999</v>
      </c>
      <c r="Q167" s="14">
        <f t="shared" si="97"/>
        <v>373324973.12</v>
      </c>
      <c r="R167" s="17">
        <f t="shared" si="98"/>
        <v>0.60672081304310366</v>
      </c>
    </row>
    <row r="168" spans="2:18" ht="24.95" hidden="1" customHeight="1">
      <c r="B168" s="64" t="s">
        <v>170</v>
      </c>
      <c r="C168" s="12">
        <f>+november!F53+SUM(november!F20:F32)</f>
        <v>998965584.5</v>
      </c>
      <c r="D168" s="12">
        <f>+november!G53+SUM(november!G20:G32)</f>
        <v>736883658.48000002</v>
      </c>
      <c r="E168" s="12">
        <f t="shared" si="93"/>
        <v>262081926.01999998</v>
      </c>
      <c r="F168" s="13"/>
      <c r="G168" s="12">
        <f>+november!J53+SUM(november!J20:J32)</f>
        <v>143562025.54000002</v>
      </c>
      <c r="H168" s="12">
        <f>+november!K53+SUM(november!K20:K32)</f>
        <v>92752592.379999995</v>
      </c>
      <c r="I168" s="12">
        <f t="shared" si="94"/>
        <v>50809433.160000026</v>
      </c>
      <c r="J168" s="12"/>
      <c r="K168" s="12">
        <f>+november!N53+SUM(november!N20:N32)</f>
        <v>25434170.5</v>
      </c>
      <c r="L168" s="12">
        <f>+november!O53+SUM(november!O20:O32)</f>
        <v>22885707.869999997</v>
      </c>
      <c r="M168" s="12">
        <f t="shared" si="95"/>
        <v>2548462.6300000027</v>
      </c>
      <c r="N168" s="13"/>
      <c r="O168" s="12">
        <f t="shared" si="96"/>
        <v>1167961780.54</v>
      </c>
      <c r="P168" s="12">
        <f t="shared" si="96"/>
        <v>852521958.73000002</v>
      </c>
      <c r="Q168" s="14">
        <f t="shared" si="97"/>
        <v>315439821.80999994</v>
      </c>
      <c r="R168" s="17">
        <f t="shared" si="98"/>
        <v>0.72992282190590319</v>
      </c>
    </row>
    <row r="169" spans="2:18" ht="24.95" hidden="1" customHeight="1">
      <c r="B169" s="64" t="s">
        <v>164</v>
      </c>
      <c r="C169" s="12">
        <f>+november!F83</f>
        <v>355352437.42000002</v>
      </c>
      <c r="D169" s="12">
        <f>+november!G83</f>
        <v>311921392.12</v>
      </c>
      <c r="E169" s="12">
        <f t="shared" si="93"/>
        <v>43431045.300000012</v>
      </c>
      <c r="F169" s="13"/>
      <c r="G169" s="12">
        <f>+november!J83</f>
        <v>149173763.56</v>
      </c>
      <c r="H169" s="12">
        <f>+november!K83</f>
        <v>77812898.920000002</v>
      </c>
      <c r="I169" s="12">
        <f t="shared" si="94"/>
        <v>71360864.640000001</v>
      </c>
      <c r="J169" s="12"/>
      <c r="K169" s="12">
        <f>+november!N83</f>
        <v>2200184.5700000003</v>
      </c>
      <c r="L169" s="12">
        <f>+november!O83</f>
        <v>7792074.9899999993</v>
      </c>
      <c r="M169" s="12">
        <f t="shared" si="95"/>
        <v>-5591890.419999999</v>
      </c>
      <c r="N169" s="13"/>
      <c r="O169" s="12">
        <f t="shared" si="96"/>
        <v>506726385.55000001</v>
      </c>
      <c r="P169" s="12">
        <f t="shared" si="96"/>
        <v>397526366.03000003</v>
      </c>
      <c r="Q169" s="14">
        <f t="shared" si="97"/>
        <v>109200019.51999998</v>
      </c>
      <c r="R169" s="17">
        <f t="shared" si="98"/>
        <v>0.78449904596644504</v>
      </c>
    </row>
    <row r="170" spans="2:18" ht="24.95" hidden="1" customHeight="1">
      <c r="B170" s="64" t="s">
        <v>165</v>
      </c>
      <c r="C170" s="12">
        <f>november!F106</f>
        <v>700590433</v>
      </c>
      <c r="D170" s="12">
        <f>november!G106</f>
        <v>362024209.48000002</v>
      </c>
      <c r="E170" s="12">
        <f t="shared" si="93"/>
        <v>338566223.51999998</v>
      </c>
      <c r="F170" s="13"/>
      <c r="G170" s="12">
        <f>november!J106</f>
        <v>55647777</v>
      </c>
      <c r="H170" s="12">
        <f>november!K106</f>
        <v>84615622.370000005</v>
      </c>
      <c r="I170" s="12">
        <f t="shared" si="94"/>
        <v>-28967845.370000005</v>
      </c>
      <c r="J170" s="12"/>
      <c r="K170" s="12">
        <f>november!N106</f>
        <v>3932108</v>
      </c>
      <c r="L170" s="12">
        <f>november!O106</f>
        <v>16954050.560000002</v>
      </c>
      <c r="M170" s="12">
        <f t="shared" si="95"/>
        <v>-13021942.560000002</v>
      </c>
      <c r="N170" s="13"/>
      <c r="O170" s="12">
        <f t="shared" si="96"/>
        <v>760170318</v>
      </c>
      <c r="P170" s="12">
        <f t="shared" si="96"/>
        <v>463593882.41000003</v>
      </c>
      <c r="Q170" s="14">
        <f t="shared" si="97"/>
        <v>296576435.58999997</v>
      </c>
      <c r="R170" s="17">
        <f t="shared" si="98"/>
        <v>0.60985528036626135</v>
      </c>
    </row>
    <row r="171" spans="2:18" ht="24.95" hidden="1" customHeight="1">
      <c r="B171" s="64" t="s">
        <v>166</v>
      </c>
      <c r="C171" s="12">
        <f>+november!F49</f>
        <v>14192000</v>
      </c>
      <c r="D171" s="12">
        <f>+november!G49</f>
        <v>14425752.449999999</v>
      </c>
      <c r="E171" s="12">
        <f t="shared" si="93"/>
        <v>-233752.44999999925</v>
      </c>
      <c r="F171" s="13"/>
      <c r="G171" s="12">
        <f>+november!J49</f>
        <v>0</v>
      </c>
      <c r="H171" s="12">
        <f>+november!K49</f>
        <v>0</v>
      </c>
      <c r="I171" s="12">
        <f t="shared" si="94"/>
        <v>0</v>
      </c>
      <c r="J171" s="12"/>
      <c r="K171" s="12">
        <f>+november!N49</f>
        <v>0</v>
      </c>
      <c r="L171" s="12">
        <f>+november!O49</f>
        <v>0</v>
      </c>
      <c r="M171" s="12">
        <f t="shared" si="95"/>
        <v>0</v>
      </c>
      <c r="N171" s="13"/>
      <c r="O171" s="12">
        <f t="shared" si="96"/>
        <v>14192000</v>
      </c>
      <c r="P171" s="12">
        <f t="shared" si="96"/>
        <v>14425752.449999999</v>
      </c>
      <c r="Q171" s="14">
        <f t="shared" si="97"/>
        <v>-233752.44999999925</v>
      </c>
      <c r="R171" s="17">
        <f t="shared" si="98"/>
        <v>1.0164707194193912</v>
      </c>
    </row>
    <row r="172" spans="2:18" ht="24.95" hidden="1" customHeight="1">
      <c r="B172" s="64" t="s">
        <v>167</v>
      </c>
      <c r="C172" s="12">
        <f>+november!F50</f>
        <v>31190000</v>
      </c>
      <c r="D172" s="12">
        <f>+november!G50</f>
        <v>31569960.23</v>
      </c>
      <c r="E172" s="12">
        <f t="shared" si="93"/>
        <v>-379960.23000000045</v>
      </c>
      <c r="F172" s="13"/>
      <c r="G172" s="12">
        <f>+november!J50</f>
        <v>0</v>
      </c>
      <c r="H172" s="12">
        <f>+november!K50</f>
        <v>0</v>
      </c>
      <c r="I172" s="12">
        <f t="shared" si="94"/>
        <v>0</v>
      </c>
      <c r="J172" s="12"/>
      <c r="K172" s="12">
        <f>+november!N50</f>
        <v>0</v>
      </c>
      <c r="L172" s="12">
        <f>+november!O50</f>
        <v>0</v>
      </c>
      <c r="M172" s="12">
        <f t="shared" si="95"/>
        <v>0</v>
      </c>
      <c r="N172" s="13"/>
      <c r="O172" s="12">
        <f t="shared" si="96"/>
        <v>31190000</v>
      </c>
      <c r="P172" s="12">
        <f t="shared" si="96"/>
        <v>31569960.23</v>
      </c>
      <c r="Q172" s="14">
        <f t="shared" si="97"/>
        <v>-379960.23000000045</v>
      </c>
      <c r="R172" s="17">
        <f t="shared" si="98"/>
        <v>1.0121821170246874</v>
      </c>
    </row>
    <row r="173" spans="2:18" ht="24.95" hidden="1" customHeight="1">
      <c r="B173" s="64" t="s">
        <v>168</v>
      </c>
      <c r="C173" s="12">
        <f>+november!F140</f>
        <v>28932000</v>
      </c>
      <c r="D173" s="12">
        <f>+november!G140</f>
        <v>23932974.579999998</v>
      </c>
      <c r="E173" s="12">
        <f t="shared" si="93"/>
        <v>4999025.4200000018</v>
      </c>
      <c r="F173" s="13"/>
      <c r="G173" s="12">
        <f>+november!J140</f>
        <v>0</v>
      </c>
      <c r="H173" s="12">
        <f>+november!K140</f>
        <v>0</v>
      </c>
      <c r="I173" s="12">
        <f t="shared" si="94"/>
        <v>0</v>
      </c>
      <c r="J173" s="12"/>
      <c r="K173" s="12">
        <f>+november!N140</f>
        <v>0</v>
      </c>
      <c r="L173" s="12">
        <f>+november!O140</f>
        <v>0</v>
      </c>
      <c r="M173" s="12">
        <f t="shared" si="95"/>
        <v>0</v>
      </c>
      <c r="N173" s="13"/>
      <c r="O173" s="12">
        <f t="shared" si="96"/>
        <v>28932000</v>
      </c>
      <c r="P173" s="12">
        <f t="shared" si="96"/>
        <v>23932974.579999998</v>
      </c>
      <c r="Q173" s="14">
        <f t="shared" si="97"/>
        <v>4999025.4200000018</v>
      </c>
      <c r="R173" s="17">
        <f t="shared" si="98"/>
        <v>0.8272146612747131</v>
      </c>
    </row>
    <row r="174" spans="2:18" ht="24.95" hidden="1" customHeight="1">
      <c r="B174" s="64" t="s">
        <v>169</v>
      </c>
      <c r="C174" s="12">
        <f>+november!F141</f>
        <v>28374000</v>
      </c>
      <c r="D174" s="12">
        <f>+november!G141</f>
        <v>26195878.829999998</v>
      </c>
      <c r="E174" s="12">
        <f t="shared" si="93"/>
        <v>2178121.1700000018</v>
      </c>
      <c r="F174" s="13"/>
      <c r="G174" s="12">
        <f>+november!J141</f>
        <v>0</v>
      </c>
      <c r="H174" s="12">
        <f>+november!K141</f>
        <v>0</v>
      </c>
      <c r="I174" s="12">
        <f t="shared" si="94"/>
        <v>0</v>
      </c>
      <c r="J174" s="12"/>
      <c r="K174" s="12">
        <f>+november!N141</f>
        <v>0</v>
      </c>
      <c r="L174" s="12">
        <f>+november!O141</f>
        <v>0</v>
      </c>
      <c r="M174" s="12">
        <f t="shared" si="95"/>
        <v>0</v>
      </c>
      <c r="N174" s="13"/>
      <c r="O174" s="12">
        <f t="shared" si="96"/>
        <v>28374000</v>
      </c>
      <c r="P174" s="12">
        <f t="shared" si="96"/>
        <v>26195878.829999998</v>
      </c>
      <c r="Q174" s="14">
        <f t="shared" si="97"/>
        <v>2178121.1700000018</v>
      </c>
      <c r="R174" s="17">
        <f t="shared" si="98"/>
        <v>0.92323531507718326</v>
      </c>
    </row>
    <row r="175" spans="2:18" ht="24.95" hidden="1" customHeight="1">
      <c r="B175" s="71" t="s">
        <v>194</v>
      </c>
      <c r="C175" s="12">
        <f>SUM(C166:C174)</f>
        <v>6577791508.04</v>
      </c>
      <c r="D175" s="12">
        <f>SUM(D166:D174)</f>
        <v>2388913965.4999995</v>
      </c>
      <c r="E175" s="12">
        <f t="shared" si="93"/>
        <v>4188877542.5400004</v>
      </c>
      <c r="F175" s="13"/>
      <c r="G175" s="12">
        <f>SUM(G166:G174)</f>
        <v>359264074.86000001</v>
      </c>
      <c r="H175" s="12">
        <f>SUM(H166:H174)</f>
        <v>267819488.98000002</v>
      </c>
      <c r="I175" s="12">
        <f t="shared" si="94"/>
        <v>91444585.879999995</v>
      </c>
      <c r="J175" s="12"/>
      <c r="K175" s="12">
        <f>SUM(K166:K174)</f>
        <v>40127469.07</v>
      </c>
      <c r="L175" s="12">
        <f>SUM(L166:L174)</f>
        <v>54072597.359999999</v>
      </c>
      <c r="M175" s="12">
        <f t="shared" si="95"/>
        <v>-13945128.289999999</v>
      </c>
      <c r="N175" s="13"/>
      <c r="O175" s="12">
        <f t="shared" si="96"/>
        <v>6977183051.9699993</v>
      </c>
      <c r="P175" s="12">
        <f t="shared" si="96"/>
        <v>2710806051.8399997</v>
      </c>
      <c r="Q175" s="14">
        <f t="shared" si="97"/>
        <v>4266377000.1299996</v>
      </c>
      <c r="R175" s="17">
        <f t="shared" si="98"/>
        <v>0.38852442764485112</v>
      </c>
    </row>
    <row r="176" spans="2:18" ht="24.95" hidden="1" customHeight="1">
      <c r="B176" s="71"/>
      <c r="C176" s="12"/>
      <c r="D176" s="12"/>
      <c r="E176" s="12"/>
      <c r="F176" s="13"/>
      <c r="G176" s="12"/>
      <c r="H176" s="12"/>
      <c r="I176" s="12"/>
      <c r="J176" s="12"/>
      <c r="K176" s="12"/>
      <c r="L176" s="12"/>
      <c r="M176" s="12"/>
      <c r="N176" s="13"/>
      <c r="O176" s="12"/>
      <c r="P176" s="12"/>
      <c r="Q176" s="14"/>
      <c r="R176" s="17"/>
    </row>
    <row r="177" spans="2:18" ht="24.95" hidden="1" customHeight="1">
      <c r="B177" s="70" t="s">
        <v>162</v>
      </c>
      <c r="C177" s="12"/>
      <c r="D177" s="12"/>
      <c r="E177" s="12"/>
      <c r="F177" s="13"/>
      <c r="G177" s="12"/>
      <c r="H177" s="12"/>
      <c r="I177" s="12"/>
      <c r="J177" s="12"/>
      <c r="K177" s="12"/>
      <c r="L177" s="12"/>
      <c r="M177" s="12"/>
      <c r="N177" s="13"/>
      <c r="O177" s="12"/>
      <c r="P177" s="12"/>
      <c r="Q177" s="14"/>
      <c r="R177" s="17"/>
    </row>
    <row r="178" spans="2:18" ht="24.95" hidden="1" customHeight="1">
      <c r="B178" s="64" t="s">
        <v>14</v>
      </c>
      <c r="C178" s="12">
        <f>+december!F8</f>
        <v>1557838195.9000001</v>
      </c>
      <c r="D178" s="12">
        <f>+december!G8</f>
        <v>746594890</v>
      </c>
      <c r="E178" s="12">
        <f t="shared" ref="E178:E187" si="99">+C178-D178</f>
        <v>811243305.9000001</v>
      </c>
      <c r="F178" s="13"/>
      <c r="G178" s="12">
        <f>+december!J8</f>
        <v>0</v>
      </c>
      <c r="H178" s="12">
        <f>+december!K8</f>
        <v>0</v>
      </c>
      <c r="I178" s="12">
        <f t="shared" ref="I178:I187" si="100">+G178-H178</f>
        <v>0</v>
      </c>
      <c r="J178" s="12"/>
      <c r="K178" s="12">
        <f>+december!N8</f>
        <v>924843</v>
      </c>
      <c r="L178" s="12">
        <f>+december!O8</f>
        <v>482520.48</v>
      </c>
      <c r="M178" s="12">
        <f t="shared" ref="M178:M187" si="101">+K178-L178</f>
        <v>442322.52</v>
      </c>
      <c r="N178" s="13"/>
      <c r="O178" s="12">
        <f t="shared" ref="O178:P187" si="102">+C178+G178+K178</f>
        <v>1558763038.9000001</v>
      </c>
      <c r="P178" s="12">
        <f t="shared" si="102"/>
        <v>747077410.48000002</v>
      </c>
      <c r="Q178" s="14">
        <f t="shared" ref="Q178:Q187" si="103">+O178-P178</f>
        <v>811685628.42000008</v>
      </c>
      <c r="R178" s="17">
        <f t="shared" ref="R178:R187" si="104">+P178/O178</f>
        <v>0.47927580513276946</v>
      </c>
    </row>
    <row r="179" spans="2:18" ht="24.95" hidden="1" customHeight="1">
      <c r="B179" s="64" t="s">
        <v>172</v>
      </c>
      <c r="C179" s="12">
        <f>+SUM(december!F13:F17)+SUM(december!F35:F46)</f>
        <v>897086050.83999991</v>
      </c>
      <c r="D179" s="12">
        <f>+SUM(december!G13:G17)+SUM(december!G35:G46)</f>
        <v>936450186.32999992</v>
      </c>
      <c r="E179" s="12">
        <f t="shared" si="99"/>
        <v>-39364135.49000001</v>
      </c>
      <c r="F179" s="13"/>
      <c r="G179" s="12">
        <f>+SUM(december!J13:J17)+SUM(december!J35:J46)</f>
        <v>133404207.09999999</v>
      </c>
      <c r="H179" s="12">
        <f>+SUM(december!K13:K17)+SUM(december!K35:K46)</f>
        <v>93790101.49000001</v>
      </c>
      <c r="I179" s="12">
        <f t="shared" si="100"/>
        <v>39614105.609999985</v>
      </c>
      <c r="J179" s="12"/>
      <c r="K179" s="12">
        <f>+SUM(december!N13:N17)+SUM(december!N35:N46)</f>
        <v>34099822</v>
      </c>
      <c r="L179" s="12">
        <f>+SUM(december!O13:O17)+SUM(december!O35:O46)</f>
        <v>36808360.900000006</v>
      </c>
      <c r="M179" s="12">
        <f t="shared" si="101"/>
        <v>-2708538.900000006</v>
      </c>
      <c r="N179" s="13"/>
      <c r="O179" s="12">
        <f t="shared" si="102"/>
        <v>1064590079.9399999</v>
      </c>
      <c r="P179" s="12">
        <f t="shared" si="102"/>
        <v>1067048648.7199999</v>
      </c>
      <c r="Q179" s="14">
        <f t="shared" si="103"/>
        <v>-2458568.7799999714</v>
      </c>
      <c r="R179" s="17">
        <f t="shared" si="104"/>
        <v>1.0023094041794365</v>
      </c>
    </row>
    <row r="180" spans="2:18" ht="24.95" hidden="1" customHeight="1">
      <c r="B180" s="64" t="s">
        <v>170</v>
      </c>
      <c r="C180" s="12">
        <f>+december!F53+SUM(december!F20:F32)</f>
        <v>1085624375.4400001</v>
      </c>
      <c r="D180" s="12">
        <f>+december!G53+SUM(december!G20:G32)</f>
        <v>1515919588.6600003</v>
      </c>
      <c r="E180" s="12">
        <f t="shared" si="99"/>
        <v>-430295213.22000027</v>
      </c>
      <c r="F180" s="13"/>
      <c r="G180" s="12">
        <f>+december!J53+SUM(december!J20:J32)</f>
        <v>400743658</v>
      </c>
      <c r="H180" s="12">
        <f>+december!K53+SUM(december!K20:K32)</f>
        <v>493843627.29000002</v>
      </c>
      <c r="I180" s="12">
        <f t="shared" si="100"/>
        <v>-93099969.290000021</v>
      </c>
      <c r="J180" s="12"/>
      <c r="K180" s="12">
        <f>+december!N53+SUM(december!N20:N32)</f>
        <v>49939426.5</v>
      </c>
      <c r="L180" s="12">
        <f>+december!O53+SUM(december!O20:O32)</f>
        <v>63208931.650000006</v>
      </c>
      <c r="M180" s="12">
        <f t="shared" si="101"/>
        <v>-13269505.150000006</v>
      </c>
      <c r="N180" s="13"/>
      <c r="O180" s="12">
        <f t="shared" si="102"/>
        <v>1536307459.9400001</v>
      </c>
      <c r="P180" s="12">
        <f t="shared" si="102"/>
        <v>2072972147.6000004</v>
      </c>
      <c r="Q180" s="14">
        <f t="shared" si="103"/>
        <v>-536664687.66000032</v>
      </c>
      <c r="R180" s="17">
        <f t="shared" si="104"/>
        <v>1.3493211493492061</v>
      </c>
    </row>
    <row r="181" spans="2:18" ht="24.95" hidden="1" customHeight="1">
      <c r="B181" s="64" t="s">
        <v>164</v>
      </c>
      <c r="C181" s="12">
        <f>+december!F83</f>
        <v>371561219</v>
      </c>
      <c r="D181" s="12">
        <f>+december!G83</f>
        <v>458494163.82000005</v>
      </c>
      <c r="E181" s="12">
        <f t="shared" si="99"/>
        <v>-86932944.820000052</v>
      </c>
      <c r="F181" s="13"/>
      <c r="G181" s="12">
        <f>+december!J83</f>
        <v>287695998</v>
      </c>
      <c r="H181" s="12">
        <f>+december!K83</f>
        <v>435877626.03999996</v>
      </c>
      <c r="I181" s="12">
        <f t="shared" si="100"/>
        <v>-148181628.03999996</v>
      </c>
      <c r="J181" s="12"/>
      <c r="K181" s="12">
        <f>+december!N83</f>
        <v>2545342</v>
      </c>
      <c r="L181" s="12">
        <f>+december!O83</f>
        <v>10758911.359999999</v>
      </c>
      <c r="M181" s="12">
        <f t="shared" si="101"/>
        <v>-8213569.3599999994</v>
      </c>
      <c r="N181" s="13"/>
      <c r="O181" s="12">
        <f t="shared" si="102"/>
        <v>661802559</v>
      </c>
      <c r="P181" s="12">
        <f t="shared" si="102"/>
        <v>905130701.22000003</v>
      </c>
      <c r="Q181" s="14">
        <f t="shared" si="103"/>
        <v>-243328142.22000003</v>
      </c>
      <c r="R181" s="17">
        <f t="shared" si="104"/>
        <v>1.3676748282564439</v>
      </c>
    </row>
    <row r="182" spans="2:18" ht="24.95" hidden="1" customHeight="1">
      <c r="B182" s="64" t="s">
        <v>165</v>
      </c>
      <c r="C182" s="12">
        <f>december!F106</f>
        <v>556549870.75</v>
      </c>
      <c r="D182" s="12">
        <f>december!G106</f>
        <v>1095210376.2299998</v>
      </c>
      <c r="E182" s="12">
        <f t="shared" si="99"/>
        <v>-538660505.47999978</v>
      </c>
      <c r="F182" s="13"/>
      <c r="G182" s="12">
        <f>december!J106</f>
        <v>197325941</v>
      </c>
      <c r="H182" s="12">
        <f>december!K106</f>
        <v>176388512.47000003</v>
      </c>
      <c r="I182" s="12">
        <f t="shared" si="100"/>
        <v>20937428.529999971</v>
      </c>
      <c r="J182" s="12"/>
      <c r="K182" s="12">
        <f>december!N106</f>
        <v>103675</v>
      </c>
      <c r="L182" s="12">
        <f>december!O106</f>
        <v>2376148.21</v>
      </c>
      <c r="M182" s="12">
        <f t="shared" si="101"/>
        <v>-2272473.21</v>
      </c>
      <c r="N182" s="13"/>
      <c r="O182" s="12">
        <f t="shared" si="102"/>
        <v>753979486.75</v>
      </c>
      <c r="P182" s="12">
        <f t="shared" si="102"/>
        <v>1273975036.9099998</v>
      </c>
      <c r="Q182" s="14">
        <f t="shared" si="103"/>
        <v>-519995550.15999985</v>
      </c>
      <c r="R182" s="17">
        <f t="shared" si="104"/>
        <v>1.6896680338100722</v>
      </c>
    </row>
    <row r="183" spans="2:18" ht="24.95" hidden="1" customHeight="1">
      <c r="B183" s="64" t="s">
        <v>166</v>
      </c>
      <c r="C183" s="12">
        <f>+december!F49</f>
        <v>24738000</v>
      </c>
      <c r="D183" s="12">
        <f>+december!G49</f>
        <v>30915670.550000001</v>
      </c>
      <c r="E183" s="12">
        <f t="shared" si="99"/>
        <v>-6177670.5500000007</v>
      </c>
      <c r="F183" s="13"/>
      <c r="G183" s="12">
        <f>+december!J49</f>
        <v>0</v>
      </c>
      <c r="H183" s="12">
        <f>+december!K49</f>
        <v>0</v>
      </c>
      <c r="I183" s="12">
        <f t="shared" si="100"/>
        <v>0</v>
      </c>
      <c r="J183" s="12"/>
      <c r="K183" s="12">
        <f>+december!N49</f>
        <v>0</v>
      </c>
      <c r="L183" s="12">
        <f>+december!O49</f>
        <v>0</v>
      </c>
      <c r="M183" s="12">
        <f t="shared" si="101"/>
        <v>0</v>
      </c>
      <c r="N183" s="13"/>
      <c r="O183" s="12">
        <f t="shared" si="102"/>
        <v>24738000</v>
      </c>
      <c r="P183" s="12">
        <f t="shared" si="102"/>
        <v>30915670.550000001</v>
      </c>
      <c r="Q183" s="14">
        <f t="shared" si="103"/>
        <v>-6177670.5500000007</v>
      </c>
      <c r="R183" s="17">
        <f t="shared" si="104"/>
        <v>1.2497239287735469</v>
      </c>
    </row>
    <row r="184" spans="2:18" ht="24.95" hidden="1" customHeight="1">
      <c r="B184" s="64" t="s">
        <v>167</v>
      </c>
      <c r="C184" s="12">
        <f>+december!F50</f>
        <v>62750700</v>
      </c>
      <c r="D184" s="12">
        <f>+december!G50</f>
        <v>42871560.869999997</v>
      </c>
      <c r="E184" s="12">
        <f t="shared" si="99"/>
        <v>19879139.130000003</v>
      </c>
      <c r="F184" s="13"/>
      <c r="G184" s="12">
        <f>+december!J50</f>
        <v>0</v>
      </c>
      <c r="H184" s="12">
        <f>+december!K50</f>
        <v>0</v>
      </c>
      <c r="I184" s="12">
        <f t="shared" si="100"/>
        <v>0</v>
      </c>
      <c r="J184" s="12"/>
      <c r="K184" s="12">
        <f>+december!N50</f>
        <v>676474</v>
      </c>
      <c r="L184" s="12">
        <f>+december!O50</f>
        <v>548990.63</v>
      </c>
      <c r="M184" s="12">
        <f t="shared" si="101"/>
        <v>127483.37</v>
      </c>
      <c r="N184" s="13"/>
      <c r="O184" s="12">
        <f t="shared" si="102"/>
        <v>63427174</v>
      </c>
      <c r="P184" s="12">
        <f t="shared" si="102"/>
        <v>43420551.5</v>
      </c>
      <c r="Q184" s="14">
        <f t="shared" si="103"/>
        <v>20006622.5</v>
      </c>
      <c r="R184" s="17">
        <f t="shared" si="104"/>
        <v>0.68457332656819925</v>
      </c>
    </row>
    <row r="185" spans="2:18" ht="24.95" hidden="1" customHeight="1">
      <c r="B185" s="64" t="s">
        <v>168</v>
      </c>
      <c r="C185" s="12">
        <f>+december!F140</f>
        <v>31207000</v>
      </c>
      <c r="D185" s="12">
        <f>+december!G140</f>
        <v>56544162.630000003</v>
      </c>
      <c r="E185" s="12">
        <f t="shared" si="99"/>
        <v>-25337162.630000003</v>
      </c>
      <c r="F185" s="13"/>
      <c r="G185" s="12">
        <f>+december!J140</f>
        <v>0</v>
      </c>
      <c r="H185" s="12">
        <f>+december!K140</f>
        <v>0</v>
      </c>
      <c r="I185" s="12">
        <f t="shared" si="100"/>
        <v>0</v>
      </c>
      <c r="J185" s="12"/>
      <c r="K185" s="12">
        <f>+december!N140</f>
        <v>0</v>
      </c>
      <c r="L185" s="12">
        <f>+december!O140</f>
        <v>0</v>
      </c>
      <c r="M185" s="12">
        <f t="shared" si="101"/>
        <v>0</v>
      </c>
      <c r="N185" s="13"/>
      <c r="O185" s="12">
        <f t="shared" si="102"/>
        <v>31207000</v>
      </c>
      <c r="P185" s="12">
        <f t="shared" si="102"/>
        <v>56544162.630000003</v>
      </c>
      <c r="Q185" s="14">
        <f t="shared" si="103"/>
        <v>-25337162.630000003</v>
      </c>
      <c r="R185" s="17">
        <f t="shared" si="104"/>
        <v>1.8119063873489922</v>
      </c>
    </row>
    <row r="186" spans="2:18" ht="24.95" hidden="1" customHeight="1">
      <c r="B186" s="64" t="s">
        <v>169</v>
      </c>
      <c r="C186" s="12">
        <f>+december!F141</f>
        <v>54309747</v>
      </c>
      <c r="D186" s="12">
        <f>+december!G141</f>
        <v>60849659.939999998</v>
      </c>
      <c r="E186" s="12">
        <f t="shared" si="99"/>
        <v>-6539912.9399999976</v>
      </c>
      <c r="F186" s="13"/>
      <c r="G186" s="12">
        <f>+december!J141</f>
        <v>0</v>
      </c>
      <c r="H186" s="12">
        <f>+december!K141</f>
        <v>0</v>
      </c>
      <c r="I186" s="12">
        <f t="shared" si="100"/>
        <v>0</v>
      </c>
      <c r="J186" s="12"/>
      <c r="K186" s="12">
        <f>+december!N141</f>
        <v>0</v>
      </c>
      <c r="L186" s="12">
        <f>+december!O141</f>
        <v>2629196.54</v>
      </c>
      <c r="M186" s="12">
        <f t="shared" si="101"/>
        <v>-2629196.54</v>
      </c>
      <c r="N186" s="13"/>
      <c r="O186" s="12">
        <f t="shared" si="102"/>
        <v>54309747</v>
      </c>
      <c r="P186" s="12">
        <f t="shared" si="102"/>
        <v>63478856.479999997</v>
      </c>
      <c r="Q186" s="14">
        <f t="shared" si="103"/>
        <v>-9169109.4799999967</v>
      </c>
      <c r="R186" s="17">
        <f t="shared" si="104"/>
        <v>1.1688299059835427</v>
      </c>
    </row>
    <row r="187" spans="2:18" ht="24.95" hidden="1" customHeight="1">
      <c r="B187" s="71" t="s">
        <v>195</v>
      </c>
      <c r="C187" s="12">
        <f>SUM(C178:C186)</f>
        <v>4641665158.9300003</v>
      </c>
      <c r="D187" s="12">
        <f>SUM(D178:D186)</f>
        <v>4943850259.0299997</v>
      </c>
      <c r="E187" s="12">
        <f t="shared" si="99"/>
        <v>-302185100.09999943</v>
      </c>
      <c r="F187" s="13"/>
      <c r="G187" s="12">
        <f>SUM(G178:G186)</f>
        <v>1019169804.1</v>
      </c>
      <c r="H187" s="12">
        <f>SUM(H178:H186)</f>
        <v>1199899867.29</v>
      </c>
      <c r="I187" s="12">
        <f t="shared" si="100"/>
        <v>-180730063.18999994</v>
      </c>
      <c r="J187" s="12"/>
      <c r="K187" s="12">
        <f>SUM(K178:K186)</f>
        <v>88289582.5</v>
      </c>
      <c r="L187" s="12">
        <f>SUM(L178:L186)</f>
        <v>116813059.77</v>
      </c>
      <c r="M187" s="12">
        <f t="shared" si="101"/>
        <v>-28523477.269999996</v>
      </c>
      <c r="N187" s="13"/>
      <c r="O187" s="12">
        <f t="shared" si="102"/>
        <v>5749124545.5300007</v>
      </c>
      <c r="P187" s="12">
        <f t="shared" si="102"/>
        <v>6260563186.0900002</v>
      </c>
      <c r="Q187" s="14">
        <f t="shared" si="103"/>
        <v>-511438640.55999947</v>
      </c>
      <c r="R187" s="17">
        <f t="shared" si="104"/>
        <v>1.088959394862588</v>
      </c>
    </row>
    <row r="188" spans="2:18" ht="24.95" hidden="1" customHeight="1">
      <c r="B188" s="71"/>
      <c r="C188" s="12"/>
      <c r="D188" s="12"/>
      <c r="E188" s="12"/>
      <c r="F188" s="13"/>
      <c r="G188" s="12"/>
      <c r="H188" s="12"/>
      <c r="I188" s="12"/>
      <c r="J188" s="12"/>
      <c r="K188" s="12"/>
      <c r="L188" s="12"/>
      <c r="M188" s="12"/>
      <c r="N188" s="13"/>
      <c r="O188" s="12"/>
      <c r="P188" s="12"/>
      <c r="Q188" s="14"/>
      <c r="R188" s="17"/>
    </row>
    <row r="189" spans="2:18" ht="24.95" hidden="1" customHeight="1">
      <c r="B189" s="73" t="s">
        <v>196</v>
      </c>
      <c r="C189" s="12"/>
      <c r="D189" s="12"/>
      <c r="E189" s="12"/>
      <c r="F189" s="13"/>
      <c r="G189" s="12"/>
      <c r="H189" s="12"/>
      <c r="I189" s="12"/>
      <c r="J189" s="12"/>
      <c r="K189" s="12"/>
      <c r="L189" s="12"/>
      <c r="M189" s="12"/>
      <c r="N189" s="13"/>
      <c r="O189" s="12"/>
      <c r="P189" s="12"/>
      <c r="Q189" s="14"/>
      <c r="R189" s="17"/>
    </row>
    <row r="190" spans="2:18" ht="24.95" hidden="1" customHeight="1">
      <c r="B190" s="64" t="s">
        <v>14</v>
      </c>
      <c r="C190" s="12">
        <f>+C154+C166+C178</f>
        <v>8974723668.7700005</v>
      </c>
      <c r="D190" s="12">
        <f>+D154+D166+D178</f>
        <v>1416185929.53</v>
      </c>
      <c r="E190" s="12">
        <f t="shared" ref="E190:E199" si="105">+C190-D190</f>
        <v>7558537739.2400007</v>
      </c>
      <c r="F190" s="13"/>
      <c r="G190" s="12">
        <f>+G154+G166+G178</f>
        <v>0</v>
      </c>
      <c r="H190" s="12">
        <f>+H154+H166+H178</f>
        <v>0</v>
      </c>
      <c r="I190" s="12">
        <f t="shared" ref="I190:I199" si="106">+G190-H190</f>
        <v>0</v>
      </c>
      <c r="J190" s="12"/>
      <c r="K190" s="12">
        <f>+K154+K166+K178</f>
        <v>2949546</v>
      </c>
      <c r="L190" s="12">
        <f>+L154+L166+L178</f>
        <v>1942603.47</v>
      </c>
      <c r="M190" s="12">
        <f t="shared" ref="M190:M199" si="107">+K190-L190</f>
        <v>1006942.53</v>
      </c>
      <c r="N190" s="13"/>
      <c r="O190" s="12">
        <f t="shared" ref="O190:P199" si="108">+C190+G190+K190</f>
        <v>8977673214.7700005</v>
      </c>
      <c r="P190" s="12">
        <f t="shared" si="108"/>
        <v>1418128533</v>
      </c>
      <c r="Q190" s="14">
        <f t="shared" ref="Q190:Q199" si="109">+O190-P190</f>
        <v>7559544681.7700005</v>
      </c>
      <c r="R190" s="17">
        <f t="shared" ref="R190:R201" si="110">+P190/O190</f>
        <v>0.15796170110835686</v>
      </c>
    </row>
    <row r="191" spans="2:18" ht="24.95" hidden="1" customHeight="1">
      <c r="B191" s="64" t="s">
        <v>172</v>
      </c>
      <c r="C191" s="12">
        <f t="shared" ref="C191:D198" si="111">+C155+C167+C179</f>
        <v>2636012977.4499998</v>
      </c>
      <c r="D191" s="12">
        <f t="shared" si="111"/>
        <v>1957544061.27</v>
      </c>
      <c r="E191" s="12">
        <f t="shared" si="105"/>
        <v>678468916.17999983</v>
      </c>
      <c r="F191" s="13"/>
      <c r="G191" s="12">
        <f t="shared" ref="G191:H198" si="112">+G155+G167+G179</f>
        <v>177240243.60999998</v>
      </c>
      <c r="H191" s="12">
        <f t="shared" si="112"/>
        <v>132608105.94000001</v>
      </c>
      <c r="I191" s="12">
        <f t="shared" si="106"/>
        <v>44632137.669999972</v>
      </c>
      <c r="J191" s="12"/>
      <c r="K191" s="12">
        <f t="shared" ref="K191:L198" si="113">+K155+K167+K179</f>
        <v>51054165</v>
      </c>
      <c r="L191" s="12">
        <f t="shared" si="113"/>
        <v>49878101.140000001</v>
      </c>
      <c r="M191" s="12">
        <f t="shared" si="107"/>
        <v>1176063.8599999994</v>
      </c>
      <c r="N191" s="13"/>
      <c r="O191" s="12">
        <f t="shared" si="108"/>
        <v>2864307386.0599999</v>
      </c>
      <c r="P191" s="12">
        <f t="shared" si="108"/>
        <v>2140030268.3500001</v>
      </c>
      <c r="Q191" s="14">
        <f t="shared" si="109"/>
        <v>724277117.7099998</v>
      </c>
      <c r="R191" s="17">
        <f t="shared" si="110"/>
        <v>0.74713708408709589</v>
      </c>
    </row>
    <row r="192" spans="2:18" ht="24.95" hidden="1" customHeight="1">
      <c r="B192" s="64" t="s">
        <v>170</v>
      </c>
      <c r="C192" s="12">
        <f t="shared" si="111"/>
        <v>2964935183.8985715</v>
      </c>
      <c r="D192" s="12">
        <f t="shared" si="111"/>
        <v>2794259035.0400004</v>
      </c>
      <c r="E192" s="12">
        <f t="shared" si="105"/>
        <v>170676148.85857105</v>
      </c>
      <c r="F192" s="13"/>
      <c r="G192" s="12">
        <f t="shared" si="112"/>
        <v>656701616.53999996</v>
      </c>
      <c r="H192" s="12">
        <f t="shared" si="112"/>
        <v>638786564.9000001</v>
      </c>
      <c r="I192" s="12">
        <f t="shared" si="106"/>
        <v>17915051.639999866</v>
      </c>
      <c r="J192" s="12"/>
      <c r="K192" s="12">
        <f t="shared" si="113"/>
        <v>100384642.03999999</v>
      </c>
      <c r="L192" s="12">
        <f t="shared" si="113"/>
        <v>93743409.609999999</v>
      </c>
      <c r="M192" s="12">
        <f t="shared" si="107"/>
        <v>6641232.4299999923</v>
      </c>
      <c r="N192" s="13"/>
      <c r="O192" s="12">
        <f t="shared" si="108"/>
        <v>3722021442.4785714</v>
      </c>
      <c r="P192" s="12">
        <f t="shared" si="108"/>
        <v>3526789009.5500007</v>
      </c>
      <c r="Q192" s="14">
        <f t="shared" si="109"/>
        <v>195232432.92857075</v>
      </c>
      <c r="R192" s="17">
        <f t="shared" si="110"/>
        <v>0.94754666625494732</v>
      </c>
    </row>
    <row r="193" spans="1:20" ht="24.95" hidden="1" customHeight="1">
      <c r="B193" s="64" t="s">
        <v>164</v>
      </c>
      <c r="C193" s="12">
        <f t="shared" si="111"/>
        <v>1052870430.4200001</v>
      </c>
      <c r="D193" s="12">
        <f t="shared" si="111"/>
        <v>976901323.25999999</v>
      </c>
      <c r="E193" s="12">
        <f t="shared" si="105"/>
        <v>75969107.160000086</v>
      </c>
      <c r="F193" s="13"/>
      <c r="G193" s="12">
        <f t="shared" si="112"/>
        <v>657526761.55999994</v>
      </c>
      <c r="H193" s="12">
        <f t="shared" si="112"/>
        <v>586985307.16999996</v>
      </c>
      <c r="I193" s="12">
        <f t="shared" si="106"/>
        <v>70541454.389999986</v>
      </c>
      <c r="J193" s="12"/>
      <c r="K193" s="12">
        <f t="shared" si="113"/>
        <v>8081125.7000000002</v>
      </c>
      <c r="L193" s="12">
        <f t="shared" si="113"/>
        <v>27309898.699999999</v>
      </c>
      <c r="M193" s="12">
        <f t="shared" si="107"/>
        <v>-19228773</v>
      </c>
      <c r="N193" s="13"/>
      <c r="O193" s="12">
        <f t="shared" si="108"/>
        <v>1718478317.6800001</v>
      </c>
      <c r="P193" s="12">
        <f t="shared" si="108"/>
        <v>1591196529.1299999</v>
      </c>
      <c r="Q193" s="14">
        <f t="shared" si="109"/>
        <v>127281788.55000019</v>
      </c>
      <c r="R193" s="17">
        <f t="shared" si="110"/>
        <v>0.92593343352633362</v>
      </c>
    </row>
    <row r="194" spans="1:20" ht="24.95" hidden="1" customHeight="1">
      <c r="B194" s="64" t="s">
        <v>165</v>
      </c>
      <c r="C194" s="12">
        <f t="shared" si="111"/>
        <v>1939898174.96</v>
      </c>
      <c r="D194" s="12">
        <f t="shared" si="111"/>
        <v>1778536370.6999998</v>
      </c>
      <c r="E194" s="12">
        <f t="shared" si="105"/>
        <v>161361804.26000023</v>
      </c>
      <c r="F194" s="13"/>
      <c r="G194" s="12">
        <f t="shared" si="112"/>
        <v>396921136</v>
      </c>
      <c r="H194" s="12">
        <f t="shared" si="112"/>
        <v>286104831.74000001</v>
      </c>
      <c r="I194" s="12">
        <f t="shared" si="106"/>
        <v>110816304.25999999</v>
      </c>
      <c r="J194" s="12"/>
      <c r="K194" s="12">
        <f t="shared" si="113"/>
        <v>22252789</v>
      </c>
      <c r="L194" s="12">
        <f t="shared" si="113"/>
        <v>22061774.860000003</v>
      </c>
      <c r="M194" s="12">
        <f t="shared" si="107"/>
        <v>191014.13999999687</v>
      </c>
      <c r="N194" s="13"/>
      <c r="O194" s="12">
        <f t="shared" si="108"/>
        <v>2359072099.96</v>
      </c>
      <c r="P194" s="12">
        <f t="shared" si="108"/>
        <v>2086702977.2999997</v>
      </c>
      <c r="Q194" s="14">
        <f t="shared" si="109"/>
        <v>272369122.66000032</v>
      </c>
      <c r="R194" s="17">
        <f t="shared" si="110"/>
        <v>0.88454396003215907</v>
      </c>
    </row>
    <row r="195" spans="1:20" ht="24.95" hidden="1" customHeight="1">
      <c r="B195" s="64" t="s">
        <v>166</v>
      </c>
      <c r="C195" s="12">
        <f t="shared" si="111"/>
        <v>52657000</v>
      </c>
      <c r="D195" s="12">
        <f t="shared" si="111"/>
        <v>54485408.219999999</v>
      </c>
      <c r="E195" s="12">
        <f t="shared" si="105"/>
        <v>-1828408.2199999988</v>
      </c>
      <c r="F195" s="13"/>
      <c r="G195" s="12">
        <f t="shared" si="112"/>
        <v>0</v>
      </c>
      <c r="H195" s="12">
        <f t="shared" si="112"/>
        <v>0</v>
      </c>
      <c r="I195" s="12">
        <f t="shared" si="106"/>
        <v>0</v>
      </c>
      <c r="J195" s="12"/>
      <c r="K195" s="12">
        <f t="shared" si="113"/>
        <v>0</v>
      </c>
      <c r="L195" s="12">
        <f t="shared" si="113"/>
        <v>0</v>
      </c>
      <c r="M195" s="12">
        <f t="shared" si="107"/>
        <v>0</v>
      </c>
      <c r="N195" s="13"/>
      <c r="O195" s="12">
        <f t="shared" si="108"/>
        <v>52657000</v>
      </c>
      <c r="P195" s="12">
        <f t="shared" si="108"/>
        <v>54485408.219999999</v>
      </c>
      <c r="Q195" s="14">
        <f t="shared" si="109"/>
        <v>-1828408.2199999988</v>
      </c>
      <c r="R195" s="17">
        <f t="shared" si="110"/>
        <v>1.0347229849782555</v>
      </c>
    </row>
    <row r="196" spans="1:20" ht="24.95" hidden="1" customHeight="1">
      <c r="B196" s="64" t="s">
        <v>167</v>
      </c>
      <c r="C196" s="12">
        <f t="shared" si="111"/>
        <v>119013700</v>
      </c>
      <c r="D196" s="12">
        <f t="shared" si="111"/>
        <v>99129969.189999998</v>
      </c>
      <c r="E196" s="12">
        <f t="shared" si="105"/>
        <v>19883730.810000002</v>
      </c>
      <c r="F196" s="13"/>
      <c r="G196" s="12">
        <f t="shared" si="112"/>
        <v>0</v>
      </c>
      <c r="H196" s="12">
        <f t="shared" si="112"/>
        <v>0</v>
      </c>
      <c r="I196" s="12">
        <f t="shared" si="106"/>
        <v>0</v>
      </c>
      <c r="J196" s="12"/>
      <c r="K196" s="12">
        <f t="shared" si="113"/>
        <v>829766</v>
      </c>
      <c r="L196" s="12">
        <f t="shared" si="113"/>
        <v>702282.25</v>
      </c>
      <c r="M196" s="12">
        <f t="shared" si="107"/>
        <v>127483.75</v>
      </c>
      <c r="N196" s="13"/>
      <c r="O196" s="12">
        <f t="shared" si="108"/>
        <v>119843466</v>
      </c>
      <c r="P196" s="12">
        <f t="shared" si="108"/>
        <v>99832251.439999998</v>
      </c>
      <c r="Q196" s="14">
        <f t="shared" si="109"/>
        <v>20011214.560000002</v>
      </c>
      <c r="R196" s="17">
        <f t="shared" si="110"/>
        <v>0.83302206429844072</v>
      </c>
    </row>
    <row r="197" spans="1:20" ht="24.95" hidden="1" customHeight="1">
      <c r="B197" s="64" t="s">
        <v>168</v>
      </c>
      <c r="C197" s="12">
        <f t="shared" si="111"/>
        <v>101532500</v>
      </c>
      <c r="D197" s="12">
        <f t="shared" si="111"/>
        <v>101518339.61</v>
      </c>
      <c r="E197" s="12">
        <f t="shared" si="105"/>
        <v>14160.390000000596</v>
      </c>
      <c r="F197" s="13"/>
      <c r="G197" s="12">
        <f t="shared" si="112"/>
        <v>0</v>
      </c>
      <c r="H197" s="12">
        <f t="shared" si="112"/>
        <v>0</v>
      </c>
      <c r="I197" s="12">
        <f t="shared" si="106"/>
        <v>0</v>
      </c>
      <c r="J197" s="12"/>
      <c r="K197" s="12">
        <f t="shared" si="113"/>
        <v>0</v>
      </c>
      <c r="L197" s="12">
        <f t="shared" si="113"/>
        <v>0</v>
      </c>
      <c r="M197" s="12">
        <f t="shared" si="107"/>
        <v>0</v>
      </c>
      <c r="N197" s="13"/>
      <c r="O197" s="12">
        <f t="shared" si="108"/>
        <v>101532500</v>
      </c>
      <c r="P197" s="12">
        <f t="shared" si="108"/>
        <v>101518339.61</v>
      </c>
      <c r="Q197" s="14">
        <f t="shared" si="109"/>
        <v>14160.390000000596</v>
      </c>
      <c r="R197" s="17">
        <f t="shared" si="110"/>
        <v>0.99986053342525794</v>
      </c>
    </row>
    <row r="198" spans="1:20" ht="24.95" hidden="1" customHeight="1">
      <c r="B198" s="64" t="s">
        <v>169</v>
      </c>
      <c r="C198" s="12">
        <f t="shared" si="111"/>
        <v>105559747</v>
      </c>
      <c r="D198" s="12">
        <f t="shared" si="111"/>
        <v>103897954</v>
      </c>
      <c r="E198" s="12">
        <f t="shared" si="105"/>
        <v>1661793</v>
      </c>
      <c r="F198" s="13"/>
      <c r="G198" s="12">
        <f t="shared" si="112"/>
        <v>0</v>
      </c>
      <c r="H198" s="12">
        <f t="shared" si="112"/>
        <v>0</v>
      </c>
      <c r="I198" s="12">
        <f t="shared" si="106"/>
        <v>0</v>
      </c>
      <c r="J198" s="12"/>
      <c r="K198" s="12">
        <f t="shared" si="113"/>
        <v>153982</v>
      </c>
      <c r="L198" s="12">
        <f t="shared" si="113"/>
        <v>2783178.54</v>
      </c>
      <c r="M198" s="12">
        <f t="shared" si="107"/>
        <v>-2629196.54</v>
      </c>
      <c r="N198" s="13"/>
      <c r="O198" s="12">
        <f t="shared" si="108"/>
        <v>105713729</v>
      </c>
      <c r="P198" s="12">
        <f t="shared" si="108"/>
        <v>106681132.54000001</v>
      </c>
      <c r="Q198" s="14">
        <f t="shared" si="109"/>
        <v>-967403.54000000656</v>
      </c>
      <c r="R198" s="17">
        <f t="shared" si="110"/>
        <v>1.0091511627595693</v>
      </c>
    </row>
    <row r="199" spans="1:20" s="48" customFormat="1" ht="24.95" hidden="1" customHeight="1">
      <c r="B199" s="72" t="s">
        <v>197</v>
      </c>
      <c r="C199" s="32">
        <f>SUM(C190:C198)</f>
        <v>17947203382.498573</v>
      </c>
      <c r="D199" s="32">
        <f>SUM(D190:D198)</f>
        <v>9282458390.8199997</v>
      </c>
      <c r="E199" s="32">
        <f t="shared" si="105"/>
        <v>8664744991.6785736</v>
      </c>
      <c r="F199" s="33"/>
      <c r="G199" s="32">
        <f>SUM(G190:G198)</f>
        <v>1888389757.71</v>
      </c>
      <c r="H199" s="32">
        <f>SUM(H190:H198)</f>
        <v>1644484809.7500002</v>
      </c>
      <c r="I199" s="32">
        <f t="shared" si="106"/>
        <v>243904947.9599998</v>
      </c>
      <c r="J199" s="32"/>
      <c r="K199" s="32">
        <f>SUM(K190:K198)</f>
        <v>185706015.73999998</v>
      </c>
      <c r="L199" s="32">
        <f>SUM(L190:L198)</f>
        <v>198421248.56999999</v>
      </c>
      <c r="M199" s="32">
        <f t="shared" si="107"/>
        <v>-12715232.830000013</v>
      </c>
      <c r="N199" s="33"/>
      <c r="O199" s="32">
        <f t="shared" si="108"/>
        <v>20021299155.948574</v>
      </c>
      <c r="P199" s="32">
        <f t="shared" si="108"/>
        <v>11125364449.139999</v>
      </c>
      <c r="Q199" s="34">
        <f t="shared" si="109"/>
        <v>8895934706.8085747</v>
      </c>
      <c r="R199" s="65">
        <f t="shared" si="110"/>
        <v>0.55567645048820502</v>
      </c>
    </row>
    <row r="200" spans="1:20" s="48" customFormat="1" ht="24.95" customHeight="1">
      <c r="B200" s="72" t="s">
        <v>299</v>
      </c>
      <c r="C200" s="32">
        <f>+C46+C94+C154+C142</f>
        <v>13932861839.17</v>
      </c>
      <c r="D200" s="32">
        <f t="shared" ref="D200:Q200" si="114">+D46+D94+D154+D142</f>
        <v>7475204215.6099997</v>
      </c>
      <c r="E200" s="32">
        <f t="shared" si="114"/>
        <v>6457657623.5599995</v>
      </c>
      <c r="F200" s="33"/>
      <c r="G200" s="32">
        <f t="shared" si="114"/>
        <v>0</v>
      </c>
      <c r="H200" s="32">
        <f t="shared" si="114"/>
        <v>0</v>
      </c>
      <c r="I200" s="32">
        <f t="shared" si="114"/>
        <v>0</v>
      </c>
      <c r="J200" s="32"/>
      <c r="K200" s="32">
        <f t="shared" si="114"/>
        <v>15895805.58</v>
      </c>
      <c r="L200" s="32">
        <f t="shared" si="114"/>
        <v>11598029.529999999</v>
      </c>
      <c r="M200" s="32">
        <f t="shared" si="114"/>
        <v>4297776.0500000007</v>
      </c>
      <c r="N200" s="32">
        <f t="shared" ref="N200" si="115">+N46+N94+N154</f>
        <v>0</v>
      </c>
      <c r="O200" s="32">
        <f t="shared" si="114"/>
        <v>13948757644.75</v>
      </c>
      <c r="P200" s="32">
        <f t="shared" si="114"/>
        <v>7486802245.1399994</v>
      </c>
      <c r="Q200" s="32">
        <f t="shared" si="114"/>
        <v>6461955399.6100006</v>
      </c>
      <c r="R200" s="17">
        <f t="shared" si="110"/>
        <v>0.53673613348339044</v>
      </c>
    </row>
    <row r="201" spans="1:20" ht="24.95" hidden="1" customHeight="1">
      <c r="B201" s="44" t="s">
        <v>163</v>
      </c>
      <c r="C201" s="32">
        <f>+C55+C103+C151+C199</f>
        <v>49005643605.748573</v>
      </c>
      <c r="D201" s="32">
        <f t="shared" ref="D201:E201" si="116">+D55+D103+D151+D199</f>
        <v>33120314997.807945</v>
      </c>
      <c r="E201" s="32">
        <f t="shared" si="116"/>
        <v>15885328607.940628</v>
      </c>
      <c r="F201" s="32">
        <f t="shared" ref="F201:J201" si="117">SUM(F9:F104)</f>
        <v>0</v>
      </c>
      <c r="G201" s="32">
        <f>+G55+G103+G151+G199</f>
        <v>3908813995.8299999</v>
      </c>
      <c r="H201" s="32">
        <f t="shared" ref="H201:I201" si="118">+H55+H103+H151+H199</f>
        <v>3593931774.5500002</v>
      </c>
      <c r="I201" s="32">
        <f t="shared" si="118"/>
        <v>314882221.27999991</v>
      </c>
      <c r="J201" s="32">
        <f t="shared" si="117"/>
        <v>0</v>
      </c>
      <c r="K201" s="32">
        <f>+K55+K103+K151+K199</f>
        <v>1521736423.9400001</v>
      </c>
      <c r="L201" s="32">
        <f t="shared" ref="L201:M201" si="119">+L55+L103+L151+L199</f>
        <v>1459380927.3199999</v>
      </c>
      <c r="M201" s="32">
        <f t="shared" si="119"/>
        <v>62355496.620000184</v>
      </c>
      <c r="N201" s="32">
        <f t="shared" ref="N201" si="120">+N104+N66+N61+N56</f>
        <v>0</v>
      </c>
      <c r="O201" s="32">
        <f>+O55+O103+O151+O199</f>
        <v>54436194025.518585</v>
      </c>
      <c r="P201" s="32">
        <f t="shared" ref="P201:Q201" si="121">+P55+P103+P151+P199</f>
        <v>38173627699.677948</v>
      </c>
      <c r="Q201" s="32">
        <f t="shared" si="121"/>
        <v>16262566325.840633</v>
      </c>
      <c r="R201" s="65">
        <f t="shared" si="110"/>
        <v>0.70125453079586941</v>
      </c>
    </row>
    <row r="202" spans="1:20" ht="15" thickBot="1">
      <c r="B202" s="69"/>
      <c r="C202" s="52"/>
      <c r="D202" s="52"/>
      <c r="E202" s="52"/>
      <c r="F202" s="53"/>
      <c r="G202" s="54"/>
      <c r="H202" s="54"/>
      <c r="I202" s="54"/>
      <c r="J202" s="54"/>
      <c r="K202" s="54"/>
      <c r="L202" s="54"/>
      <c r="M202" s="54"/>
      <c r="N202" s="53"/>
      <c r="O202" s="54"/>
      <c r="P202" s="54"/>
      <c r="Q202" s="55"/>
      <c r="R202" s="56"/>
    </row>
    <row r="203" spans="1:20" ht="24.95" customHeight="1"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>
        <f>+C200+K200</f>
        <v>13948757644.75</v>
      </c>
      <c r="P203" s="30"/>
      <c r="Q203" s="30"/>
    </row>
    <row r="204" spans="1:20" ht="24.95" customHeight="1">
      <c r="C204" s="58" t="s">
        <v>126</v>
      </c>
      <c r="G204" s="58" t="s">
        <v>127</v>
      </c>
      <c r="H204" s="30"/>
      <c r="K204" s="58" t="s">
        <v>128</v>
      </c>
      <c r="O204" s="13"/>
      <c r="P204" s="13"/>
      <c r="Q204" s="13"/>
    </row>
    <row r="205" spans="1:20" s="1" customFormat="1" ht="24.95" customHeight="1">
      <c r="A205" s="2"/>
      <c r="B205" s="57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3"/>
      <c r="P205" s="13"/>
      <c r="Q205" s="13"/>
      <c r="S205" s="2"/>
      <c r="T205" s="2"/>
    </row>
    <row r="206" spans="1:20" s="1" customFormat="1" ht="24.95" customHeight="1">
      <c r="A206" s="2"/>
      <c r="B206" s="57"/>
      <c r="C206" s="59" t="s">
        <v>129</v>
      </c>
      <c r="D206" s="2"/>
      <c r="E206" s="2"/>
      <c r="F206" s="2"/>
      <c r="G206" s="59" t="s">
        <v>130</v>
      </c>
      <c r="H206" s="2"/>
      <c r="I206" s="2"/>
      <c r="J206" s="2"/>
      <c r="K206" s="59" t="s">
        <v>131</v>
      </c>
      <c r="L206" s="2"/>
      <c r="M206" s="2"/>
      <c r="N206" s="2"/>
      <c r="O206" s="30"/>
      <c r="P206" s="30"/>
      <c r="Q206" s="30"/>
      <c r="S206" s="2"/>
      <c r="T206" s="2"/>
    </row>
    <row r="207" spans="1:20" s="1" customFormat="1" ht="17.25" customHeight="1">
      <c r="A207" s="2"/>
      <c r="B207" s="57"/>
      <c r="C207" s="58" t="s">
        <v>296</v>
      </c>
      <c r="D207" s="2"/>
      <c r="E207" s="2"/>
      <c r="F207" s="2"/>
      <c r="G207" s="58" t="s">
        <v>133</v>
      </c>
      <c r="H207" s="2"/>
      <c r="I207" s="2"/>
      <c r="J207" s="2"/>
      <c r="K207" s="58" t="s">
        <v>134</v>
      </c>
      <c r="L207" s="2"/>
      <c r="M207" s="2"/>
      <c r="N207" s="2"/>
      <c r="O207" s="2"/>
      <c r="P207" s="2"/>
      <c r="Q207" s="2"/>
      <c r="S207" s="2"/>
      <c r="T207" s="2"/>
    </row>
  </sheetData>
  <autoFilter ref="B7:R202"/>
  <mergeCells count="7">
    <mergeCell ref="R5:R6"/>
    <mergeCell ref="B4:Q4"/>
    <mergeCell ref="B5:B6"/>
    <mergeCell ref="C5:E5"/>
    <mergeCell ref="G5:I5"/>
    <mergeCell ref="K5:M5"/>
    <mergeCell ref="O5:Q5"/>
  </mergeCells>
  <pageMargins left="0.83" right="0" top="0.36" bottom="0.39" header="0.27" footer="0.17"/>
  <pageSetup paperSize="5" scale="60" orientation="landscape" r:id="rId1"/>
  <headerFooter>
    <oddFooter>&amp;R&amp;"-,Italic"&amp;8Page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Y149"/>
  <sheetViews>
    <sheetView zoomScale="75" zoomScaleNormal="75" workbookViewId="0">
      <pane xSplit="5" ySplit="6" topLeftCell="F81" activePane="bottomRight" state="frozen"/>
      <selection pane="topRight" activeCell="F1" sqref="F1"/>
      <selection pane="bottomLeft" activeCell="A7" sqref="A7"/>
      <selection pane="bottomRight" activeCell="E87" sqref="E87"/>
    </sheetView>
  </sheetViews>
  <sheetFormatPr defaultRowHeight="24.95" customHeight="1"/>
  <cols>
    <col min="1" max="4" width="2.7109375" style="2" customWidth="1"/>
    <col min="5" max="5" width="50.5703125" style="57" customWidth="1"/>
    <col min="6" max="7" width="19.28515625" style="2" customWidth="1"/>
    <col min="8" max="8" width="18.5703125" style="2" customWidth="1"/>
    <col min="9" max="9" width="0.7109375" style="2" customWidth="1"/>
    <col min="10" max="10" width="24" style="2" bestFit="1" customWidth="1"/>
    <col min="11" max="11" width="18.7109375" style="2" bestFit="1" customWidth="1"/>
    <col min="12" max="12" width="19.42578125" style="2" bestFit="1" customWidth="1"/>
    <col min="13" max="13" width="0.5703125" style="2" customWidth="1"/>
    <col min="14" max="15" width="18.7109375" style="2" bestFit="1" customWidth="1"/>
    <col min="16" max="16" width="16.5703125" style="2" customWidth="1"/>
    <col min="17" max="17" width="0.7109375" style="2" customWidth="1"/>
    <col min="18" max="19" width="19.85546875" style="2" bestFit="1" customWidth="1"/>
    <col min="20" max="20" width="18.7109375" style="2" bestFit="1" customWidth="1"/>
    <col min="21" max="21" width="14.5703125" style="1" customWidth="1"/>
    <col min="22" max="22" width="9.140625" style="2"/>
    <col min="23" max="23" width="13.140625" style="2" bestFit="1" customWidth="1"/>
    <col min="24" max="16384" width="9.140625" style="2"/>
  </cols>
  <sheetData>
    <row r="1" spans="2:21" ht="18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2:21" ht="20.25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21" ht="18">
      <c r="B3" s="131" t="s">
        <v>135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1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2:21" ht="24.95" customHeight="1">
      <c r="B5" s="134" t="s">
        <v>3</v>
      </c>
      <c r="C5" s="135"/>
      <c r="D5" s="135"/>
      <c r="E5" s="136"/>
      <c r="F5" s="140" t="s">
        <v>4</v>
      </c>
      <c r="G5" s="141"/>
      <c r="H5" s="142"/>
      <c r="I5" s="3"/>
      <c r="J5" s="140" t="s">
        <v>5</v>
      </c>
      <c r="K5" s="141"/>
      <c r="L5" s="142"/>
      <c r="M5" s="4"/>
      <c r="N5" s="140" t="s">
        <v>6</v>
      </c>
      <c r="O5" s="141"/>
      <c r="P5" s="142"/>
      <c r="Q5" s="3"/>
      <c r="R5" s="140" t="s">
        <v>7</v>
      </c>
      <c r="S5" s="141"/>
      <c r="T5" s="143"/>
      <c r="U5" s="127" t="s">
        <v>8</v>
      </c>
    </row>
    <row r="6" spans="2:21" s="8" customFormat="1" ht="28.5" customHeight="1" thickBot="1">
      <c r="B6" s="137"/>
      <c r="C6" s="138"/>
      <c r="D6" s="138"/>
      <c r="E6" s="139"/>
      <c r="F6" s="5" t="s">
        <v>9</v>
      </c>
      <c r="G6" s="6" t="s">
        <v>10</v>
      </c>
      <c r="H6" s="5" t="s">
        <v>11</v>
      </c>
      <c r="I6" s="6"/>
      <c r="J6" s="5" t="s">
        <v>12</v>
      </c>
      <c r="K6" s="6" t="s">
        <v>10</v>
      </c>
      <c r="L6" s="5" t="s">
        <v>11</v>
      </c>
      <c r="M6" s="5"/>
      <c r="N6" s="5" t="s">
        <v>9</v>
      </c>
      <c r="O6" s="6" t="s">
        <v>10</v>
      </c>
      <c r="P6" s="5" t="s">
        <v>11</v>
      </c>
      <c r="Q6" s="5"/>
      <c r="R6" s="6" t="s">
        <v>13</v>
      </c>
      <c r="S6" s="6" t="s">
        <v>10</v>
      </c>
      <c r="T6" s="7" t="s">
        <v>11</v>
      </c>
      <c r="U6" s="128"/>
    </row>
    <row r="7" spans="2:21" ht="24.95" customHeight="1">
      <c r="B7" s="9"/>
      <c r="C7" s="10"/>
      <c r="D7" s="10"/>
      <c r="E7" s="11"/>
      <c r="F7" s="12"/>
      <c r="G7" s="12"/>
      <c r="H7" s="12"/>
      <c r="I7" s="13"/>
      <c r="J7" s="12"/>
      <c r="K7" s="12"/>
      <c r="L7" s="12"/>
      <c r="M7" s="12"/>
      <c r="N7" s="12"/>
      <c r="O7" s="12"/>
      <c r="P7" s="12"/>
      <c r="Q7" s="13"/>
      <c r="R7" s="12"/>
      <c r="S7" s="12"/>
      <c r="T7" s="14"/>
      <c r="U7" s="15"/>
    </row>
    <row r="8" spans="2:21" ht="24.95" customHeight="1">
      <c r="B8" s="9" t="s">
        <v>14</v>
      </c>
      <c r="C8" s="10"/>
      <c r="D8" s="10"/>
      <c r="E8" s="11"/>
      <c r="F8" s="12">
        <f>397465000-140413770.9+434153</f>
        <v>257485382.09999999</v>
      </c>
      <c r="G8" s="12">
        <f>257159354.79+434153</f>
        <v>257593507.78999999</v>
      </c>
      <c r="H8" s="12">
        <f>+F8-G8</f>
        <v>-108125.68999999762</v>
      </c>
      <c r="I8" s="13"/>
      <c r="J8" s="12"/>
      <c r="K8" s="12"/>
      <c r="L8" s="12">
        <f>+J8-K8</f>
        <v>0</v>
      </c>
      <c r="M8" s="12"/>
      <c r="N8" s="12">
        <f>388870+2039257</f>
        <v>2428127</v>
      </c>
      <c r="O8" s="12">
        <v>5904204.3799999999</v>
      </c>
      <c r="P8" s="12">
        <f>+N8-O8</f>
        <v>-3476077.38</v>
      </c>
      <c r="Q8" s="16"/>
      <c r="R8" s="12">
        <f>+F8+J8+N8</f>
        <v>259913509.09999999</v>
      </c>
      <c r="S8" s="12">
        <f>+G8+K8+O8</f>
        <v>263497712.16999999</v>
      </c>
      <c r="T8" s="14">
        <f>+R8-S8</f>
        <v>-3584203.0699999928</v>
      </c>
      <c r="U8" s="17">
        <f>+S8/R8</f>
        <v>1.0137899837619482</v>
      </c>
    </row>
    <row r="9" spans="2:21" ht="24.95" customHeight="1">
      <c r="B9" s="18"/>
      <c r="C9" s="10"/>
      <c r="D9" s="10"/>
      <c r="E9" s="19"/>
      <c r="F9" s="12"/>
      <c r="G9" s="12"/>
      <c r="H9" s="12">
        <f>+F9-G9</f>
        <v>0</v>
      </c>
      <c r="I9" s="13"/>
      <c r="J9" s="12"/>
      <c r="K9" s="12"/>
      <c r="L9" s="12">
        <f>+J9-K9</f>
        <v>0</v>
      </c>
      <c r="M9" s="12"/>
      <c r="N9" s="12"/>
      <c r="O9" s="12"/>
      <c r="P9" s="12">
        <f>+N9-O9</f>
        <v>0</v>
      </c>
      <c r="Q9" s="13"/>
      <c r="R9" s="12"/>
      <c r="S9" s="12"/>
      <c r="T9" s="14"/>
      <c r="U9" s="17"/>
    </row>
    <row r="10" spans="2:21" ht="24.95" customHeight="1">
      <c r="B10" s="9" t="s">
        <v>15</v>
      </c>
      <c r="C10" s="10"/>
      <c r="D10" s="10"/>
      <c r="E10" s="11"/>
      <c r="F10" s="12"/>
      <c r="G10" s="12"/>
      <c r="H10" s="12"/>
      <c r="I10" s="13"/>
      <c r="J10" s="12"/>
      <c r="K10" s="12"/>
      <c r="L10" s="12"/>
      <c r="M10" s="12"/>
      <c r="N10" s="12"/>
      <c r="O10" s="12"/>
      <c r="P10" s="12"/>
      <c r="Q10" s="13"/>
      <c r="R10" s="12"/>
      <c r="S10" s="12"/>
      <c r="T10" s="14"/>
      <c r="U10" s="17"/>
    </row>
    <row r="11" spans="2:21" ht="30" customHeight="1">
      <c r="B11" s="9"/>
      <c r="C11" s="129" t="s">
        <v>16</v>
      </c>
      <c r="D11" s="129"/>
      <c r="E11" s="130"/>
      <c r="F11" s="12">
        <f>SUM(F13:F46)</f>
        <v>829772081.02999997</v>
      </c>
      <c r="G11" s="12">
        <f t="shared" ref="G11:T11" si="0">SUM(G13:G46)</f>
        <v>549834385.82937491</v>
      </c>
      <c r="H11" s="12">
        <f t="shared" si="0"/>
        <v>279937695.200625</v>
      </c>
      <c r="I11" s="12">
        <f t="shared" si="0"/>
        <v>2208000</v>
      </c>
      <c r="J11" s="12">
        <f>SUM(J13:J46)</f>
        <v>14874701.1</v>
      </c>
      <c r="K11" s="12">
        <f>SUM(K13:K46)</f>
        <v>13155046.23</v>
      </c>
      <c r="L11" s="12">
        <f>SUM(L13:L46)</f>
        <v>1719654.87</v>
      </c>
      <c r="M11" s="12">
        <f t="shared" si="0"/>
        <v>0</v>
      </c>
      <c r="N11" s="12">
        <f>SUM(N13:N46)</f>
        <v>157579487</v>
      </c>
      <c r="O11" s="12">
        <f>SUM(O13:O46)</f>
        <v>70697646.090000004</v>
      </c>
      <c r="P11" s="12">
        <f>SUM(P13:P46)</f>
        <v>88635038.730000019</v>
      </c>
      <c r="Q11" s="12">
        <f t="shared" si="0"/>
        <v>0</v>
      </c>
      <c r="R11" s="12">
        <f t="shared" si="0"/>
        <v>1002226269.13</v>
      </c>
      <c r="S11" s="12">
        <f t="shared" si="0"/>
        <v>633687078.14937508</v>
      </c>
      <c r="T11" s="14">
        <f t="shared" si="0"/>
        <v>368539190.98062503</v>
      </c>
      <c r="U11" s="17">
        <f>+S11/R11</f>
        <v>0.63227945391958063</v>
      </c>
    </row>
    <row r="12" spans="2:21" ht="24.95" customHeight="1">
      <c r="B12" s="18"/>
      <c r="C12" s="20" t="s">
        <v>17</v>
      </c>
      <c r="D12" s="20"/>
      <c r="E12" s="10"/>
      <c r="F12" s="12"/>
      <c r="G12" s="12"/>
      <c r="H12" s="12">
        <f t="shared" ref="H12:H17" si="1">+F12-G12</f>
        <v>0</v>
      </c>
      <c r="I12" s="13"/>
      <c r="J12" s="12"/>
      <c r="K12" s="12"/>
      <c r="L12" s="12">
        <f t="shared" ref="L12:L17" si="2">+J12-K12</f>
        <v>0</v>
      </c>
      <c r="M12" s="12"/>
      <c r="N12" s="12"/>
      <c r="O12" s="12"/>
      <c r="P12" s="12">
        <f t="shared" ref="P12:P17" si="3">+N12-O12</f>
        <v>0</v>
      </c>
      <c r="Q12" s="13"/>
      <c r="R12" s="12"/>
      <c r="S12" s="12"/>
      <c r="T12" s="14"/>
      <c r="U12" s="17"/>
    </row>
    <row r="13" spans="2:21" ht="24.95" customHeight="1">
      <c r="B13" s="18"/>
      <c r="C13" s="20"/>
      <c r="D13" s="20"/>
      <c r="E13" s="10" t="s">
        <v>18</v>
      </c>
      <c r="F13" s="12">
        <v>23012000</v>
      </c>
      <c r="G13" s="12">
        <v>12598662.380000001</v>
      </c>
      <c r="H13" s="12">
        <f t="shared" si="1"/>
        <v>10413337.619999999</v>
      </c>
      <c r="I13" s="13"/>
      <c r="J13" s="12"/>
      <c r="K13" s="12"/>
      <c r="L13" s="12">
        <f t="shared" si="2"/>
        <v>0</v>
      </c>
      <c r="M13" s="12"/>
      <c r="N13" s="12"/>
      <c r="O13" s="12"/>
      <c r="P13" s="12">
        <f t="shared" si="3"/>
        <v>0</v>
      </c>
      <c r="Q13" s="13"/>
      <c r="R13" s="12">
        <f t="shared" ref="R13:S17" si="4">+F13+J13+N13</f>
        <v>23012000</v>
      </c>
      <c r="S13" s="12">
        <f t="shared" si="4"/>
        <v>12598662.380000001</v>
      </c>
      <c r="T13" s="14">
        <f>+R13-S13</f>
        <v>10413337.619999999</v>
      </c>
      <c r="U13" s="17">
        <f t="shared" ref="U13:U72" si="5">+S13/R13</f>
        <v>0.54748228663306109</v>
      </c>
    </row>
    <row r="14" spans="2:21" ht="24.95" customHeight="1">
      <c r="B14" s="18"/>
      <c r="C14" s="10"/>
      <c r="D14" s="10"/>
      <c r="E14" s="21" t="s">
        <v>19</v>
      </c>
      <c r="F14" s="12">
        <v>7812000</v>
      </c>
      <c r="G14" s="12">
        <v>8443194.3893749993</v>
      </c>
      <c r="H14" s="12">
        <f t="shared" si="1"/>
        <v>-631194.38937499933</v>
      </c>
      <c r="I14" s="13"/>
      <c r="J14" s="12"/>
      <c r="K14" s="12"/>
      <c r="L14" s="12">
        <f t="shared" si="2"/>
        <v>0</v>
      </c>
      <c r="M14" s="12"/>
      <c r="N14" s="12"/>
      <c r="O14" s="12"/>
      <c r="P14" s="12">
        <f t="shared" si="3"/>
        <v>0</v>
      </c>
      <c r="Q14" s="13"/>
      <c r="R14" s="12">
        <f t="shared" si="4"/>
        <v>7812000</v>
      </c>
      <c r="S14" s="12">
        <f t="shared" si="4"/>
        <v>8443194.3893749993</v>
      </c>
      <c r="T14" s="14">
        <f>+R14-S14</f>
        <v>-631194.38937499933</v>
      </c>
      <c r="U14" s="17">
        <f t="shared" si="5"/>
        <v>1.0807980529153864</v>
      </c>
    </row>
    <row r="15" spans="2:21" ht="27" customHeight="1">
      <c r="B15" s="18"/>
      <c r="C15" s="10"/>
      <c r="D15" s="10"/>
      <c r="E15" s="21" t="s">
        <v>20</v>
      </c>
      <c r="F15" s="12">
        <v>6185000</v>
      </c>
      <c r="G15" s="12">
        <v>5523529.75</v>
      </c>
      <c r="H15" s="12">
        <f t="shared" si="1"/>
        <v>661470.25</v>
      </c>
      <c r="I15" s="13"/>
      <c r="J15" s="12"/>
      <c r="K15" s="12"/>
      <c r="L15" s="12">
        <f t="shared" si="2"/>
        <v>0</v>
      </c>
      <c r="M15" s="12"/>
      <c r="N15" s="12"/>
      <c r="O15" s="12"/>
      <c r="P15" s="12">
        <f t="shared" si="3"/>
        <v>0</v>
      </c>
      <c r="Q15" s="13"/>
      <c r="R15" s="12">
        <f t="shared" si="4"/>
        <v>6185000</v>
      </c>
      <c r="S15" s="12">
        <f t="shared" si="4"/>
        <v>5523529.75</v>
      </c>
      <c r="T15" s="14">
        <f>+R15-S15</f>
        <v>661470.25</v>
      </c>
      <c r="U15" s="17">
        <f t="shared" si="5"/>
        <v>0.89305250606305575</v>
      </c>
    </row>
    <row r="16" spans="2:21" ht="27" customHeight="1">
      <c r="B16" s="18"/>
      <c r="C16" s="10"/>
      <c r="D16" s="10"/>
      <c r="E16" s="22" t="s">
        <v>21</v>
      </c>
      <c r="F16" s="12">
        <v>1338000</v>
      </c>
      <c r="G16" s="12">
        <v>1562979.6800000002</v>
      </c>
      <c r="H16" s="12">
        <f t="shared" si="1"/>
        <v>-224979.68000000017</v>
      </c>
      <c r="I16" s="13"/>
      <c r="J16" s="12"/>
      <c r="K16" s="12"/>
      <c r="L16" s="12">
        <f t="shared" si="2"/>
        <v>0</v>
      </c>
      <c r="M16" s="12"/>
      <c r="N16" s="12"/>
      <c r="O16" s="12"/>
      <c r="P16" s="12">
        <f t="shared" si="3"/>
        <v>0</v>
      </c>
      <c r="Q16" s="13"/>
      <c r="R16" s="12">
        <f t="shared" si="4"/>
        <v>1338000</v>
      </c>
      <c r="S16" s="12">
        <f t="shared" si="4"/>
        <v>1562979.6800000002</v>
      </c>
      <c r="T16" s="14">
        <f>+R16-S16</f>
        <v>-224979.68000000017</v>
      </c>
      <c r="U16" s="17">
        <f t="shared" si="5"/>
        <v>1.1681462481315397</v>
      </c>
    </row>
    <row r="17" spans="2:21" ht="27" customHeight="1">
      <c r="B17" s="18"/>
      <c r="C17" s="10"/>
      <c r="D17" s="10"/>
      <c r="E17" s="21" t="s">
        <v>22</v>
      </c>
      <c r="F17" s="12">
        <v>14078000</v>
      </c>
      <c r="G17" s="12">
        <v>14055293.529999999</v>
      </c>
      <c r="H17" s="12">
        <f t="shared" si="1"/>
        <v>22706.470000000671</v>
      </c>
      <c r="I17" s="13"/>
      <c r="J17" s="12"/>
      <c r="K17" s="12"/>
      <c r="L17" s="12">
        <f t="shared" si="2"/>
        <v>0</v>
      </c>
      <c r="M17" s="12"/>
      <c r="N17" s="12"/>
      <c r="O17" s="12"/>
      <c r="P17" s="12">
        <f t="shared" si="3"/>
        <v>0</v>
      </c>
      <c r="Q17" s="13"/>
      <c r="R17" s="12">
        <f t="shared" si="4"/>
        <v>14078000</v>
      </c>
      <c r="S17" s="12">
        <f t="shared" si="4"/>
        <v>14055293.529999999</v>
      </c>
      <c r="T17" s="14">
        <f>+R17-S17</f>
        <v>22706.470000000671</v>
      </c>
      <c r="U17" s="17">
        <f t="shared" si="5"/>
        <v>0.99838709546810622</v>
      </c>
    </row>
    <row r="18" spans="2:21" ht="24.95" customHeight="1">
      <c r="B18" s="18"/>
      <c r="C18" s="10"/>
      <c r="D18" s="10"/>
      <c r="E18" s="21"/>
      <c r="F18" s="12"/>
      <c r="G18" s="12"/>
      <c r="H18" s="12"/>
      <c r="I18" s="13"/>
      <c r="J18" s="12"/>
      <c r="K18" s="12"/>
      <c r="L18" s="12"/>
      <c r="M18" s="12"/>
      <c r="N18" s="12"/>
      <c r="O18" s="12"/>
      <c r="P18" s="12"/>
      <c r="Q18" s="13"/>
      <c r="R18" s="12"/>
      <c r="S18" s="12"/>
      <c r="T18" s="14"/>
      <c r="U18" s="17"/>
    </row>
    <row r="19" spans="2:21" ht="24.95" customHeight="1">
      <c r="B19" s="18"/>
      <c r="C19" s="20" t="s">
        <v>23</v>
      </c>
      <c r="D19" s="20"/>
      <c r="E19" s="10"/>
      <c r="F19" s="12"/>
      <c r="G19" s="12"/>
      <c r="H19" s="12"/>
      <c r="I19" s="13"/>
      <c r="J19" s="12"/>
      <c r="K19" s="12"/>
      <c r="L19" s="12"/>
      <c r="M19" s="12"/>
      <c r="N19" s="12"/>
      <c r="O19" s="12"/>
      <c r="P19" s="12"/>
      <c r="Q19" s="13"/>
      <c r="R19" s="12"/>
      <c r="S19" s="12"/>
      <c r="T19" s="14"/>
      <c r="U19" s="17"/>
    </row>
    <row r="20" spans="2:21" ht="24.95" customHeight="1">
      <c r="B20" s="18"/>
      <c r="C20" s="20"/>
      <c r="D20" s="20"/>
      <c r="E20" s="10" t="s">
        <v>24</v>
      </c>
      <c r="F20" s="12">
        <v>18399000</v>
      </c>
      <c r="G20" s="12">
        <v>10407185.449999999</v>
      </c>
      <c r="H20" s="12">
        <f>+F20-G20</f>
        <v>7991814.5500000007</v>
      </c>
      <c r="I20" s="13"/>
      <c r="J20" s="12"/>
      <c r="K20" s="12"/>
      <c r="L20" s="12">
        <f>+J20-K20</f>
        <v>0</v>
      </c>
      <c r="M20" s="12"/>
      <c r="N20" s="12">
        <v>105890000</v>
      </c>
      <c r="O20" s="12">
        <v>25193697.489999998</v>
      </c>
      <c r="P20" s="12">
        <f>+N20-O20</f>
        <v>80696302.510000005</v>
      </c>
      <c r="Q20" s="13"/>
      <c r="R20" s="12">
        <f>+F20+J20+N20</f>
        <v>124289000</v>
      </c>
      <c r="S20" s="12">
        <f>+G20+K20+O20</f>
        <v>35600882.939999998</v>
      </c>
      <c r="T20" s="14">
        <f>+R20-S20</f>
        <v>88688117.060000002</v>
      </c>
      <c r="U20" s="17">
        <f t="shared" si="5"/>
        <v>0.28643631326987906</v>
      </c>
    </row>
    <row r="21" spans="2:21" ht="28.5" customHeight="1">
      <c r="B21" s="18"/>
      <c r="C21" s="10"/>
      <c r="D21" s="10"/>
      <c r="E21" s="22" t="s">
        <v>25</v>
      </c>
      <c r="F21" s="12">
        <v>15499000</v>
      </c>
      <c r="G21" s="12">
        <v>15128694.77</v>
      </c>
      <c r="H21" s="12">
        <f>+F21-G21</f>
        <v>370305.23000000045</v>
      </c>
      <c r="I21" s="13"/>
      <c r="J21" s="12"/>
      <c r="K21" s="12"/>
      <c r="L21" s="12">
        <f>+J21-K21</f>
        <v>0</v>
      </c>
      <c r="M21" s="12"/>
      <c r="N21" s="12">
        <v>1215342</v>
      </c>
      <c r="O21" s="12">
        <v>0</v>
      </c>
      <c r="P21" s="12">
        <f>+N21-O21</f>
        <v>1215342</v>
      </c>
      <c r="Q21" s="13"/>
      <c r="R21" s="12">
        <f>+F21+J21+N21</f>
        <v>16714342</v>
      </c>
      <c r="S21" s="12">
        <f>+G21+K21+O21</f>
        <v>15128694.77</v>
      </c>
      <c r="T21" s="14">
        <f>+R21-S21</f>
        <v>1585647.2300000004</v>
      </c>
      <c r="U21" s="17">
        <f t="shared" si="5"/>
        <v>0.90513253647675751</v>
      </c>
    </row>
    <row r="22" spans="2:21" ht="24.95" customHeight="1">
      <c r="B22" s="18"/>
      <c r="C22" s="10"/>
      <c r="D22" s="10"/>
      <c r="E22" s="22"/>
      <c r="F22" s="12"/>
      <c r="G22" s="12"/>
      <c r="H22" s="12"/>
      <c r="I22" s="13"/>
      <c r="J22" s="12"/>
      <c r="K22" s="12"/>
      <c r="L22" s="12"/>
      <c r="M22" s="12"/>
      <c r="N22" s="12"/>
      <c r="O22" s="12"/>
      <c r="P22" s="12"/>
      <c r="Q22" s="13"/>
      <c r="R22" s="12"/>
      <c r="S22" s="12"/>
      <c r="T22" s="14"/>
      <c r="U22" s="17"/>
    </row>
    <row r="23" spans="2:21" ht="24.95" customHeight="1">
      <c r="B23" s="18"/>
      <c r="C23" s="20" t="s">
        <v>26</v>
      </c>
      <c r="D23" s="20"/>
      <c r="E23" s="10"/>
      <c r="F23" s="12"/>
      <c r="G23" s="12"/>
      <c r="H23" s="12"/>
      <c r="I23" s="13"/>
      <c r="J23" s="12"/>
      <c r="K23" s="12"/>
      <c r="L23" s="12"/>
      <c r="M23" s="12"/>
      <c r="N23" s="12"/>
      <c r="O23" s="12"/>
      <c r="P23" s="12"/>
      <c r="Q23" s="13"/>
      <c r="R23" s="12"/>
      <c r="S23" s="12"/>
      <c r="T23" s="14"/>
      <c r="U23" s="17"/>
    </row>
    <row r="24" spans="2:21" ht="24.95" customHeight="1">
      <c r="B24" s="18"/>
      <c r="C24" s="20"/>
      <c r="D24" s="20"/>
      <c r="E24" s="10" t="s">
        <v>27</v>
      </c>
      <c r="F24" s="12">
        <v>42482000</v>
      </c>
      <c r="G24" s="12">
        <v>19783871.34</v>
      </c>
      <c r="H24" s="12">
        <f>+F24-G24</f>
        <v>22698128.66</v>
      </c>
      <c r="I24" s="13"/>
      <c r="J24" s="12"/>
      <c r="K24" s="12"/>
      <c r="L24" s="12">
        <f>+J24-K24</f>
        <v>0</v>
      </c>
      <c r="M24" s="12"/>
      <c r="N24" s="12"/>
      <c r="O24" s="12"/>
      <c r="P24" s="12">
        <f>+N24-O24</f>
        <v>0</v>
      </c>
      <c r="Q24" s="13"/>
      <c r="R24" s="12">
        <f t="shared" ref="R24:S26" si="6">+F24+J24+N24</f>
        <v>42482000</v>
      </c>
      <c r="S24" s="12">
        <f t="shared" si="6"/>
        <v>19783871.34</v>
      </c>
      <c r="T24" s="14">
        <f>+R24-S24</f>
        <v>22698128.66</v>
      </c>
      <c r="U24" s="17">
        <f t="shared" si="5"/>
        <v>0.46570009274516266</v>
      </c>
    </row>
    <row r="25" spans="2:21" ht="27.75" customHeight="1">
      <c r="B25" s="18"/>
      <c r="C25" s="10"/>
      <c r="D25" s="10"/>
      <c r="E25" s="22" t="s">
        <v>28</v>
      </c>
      <c r="F25" s="12">
        <v>5634000</v>
      </c>
      <c r="G25" s="12">
        <v>5684060.8799999999</v>
      </c>
      <c r="H25" s="12">
        <f>+F25-G25</f>
        <v>-50060.879999999888</v>
      </c>
      <c r="I25" s="13"/>
      <c r="J25" s="12"/>
      <c r="K25" s="12"/>
      <c r="L25" s="12">
        <f>+J25-K25</f>
        <v>0</v>
      </c>
      <c r="M25" s="12"/>
      <c r="N25" s="12"/>
      <c r="O25" s="12"/>
      <c r="P25" s="12">
        <f>+N25-O25</f>
        <v>0</v>
      </c>
      <c r="Q25" s="13"/>
      <c r="R25" s="12">
        <f t="shared" si="6"/>
        <v>5634000</v>
      </c>
      <c r="S25" s="12">
        <f t="shared" si="6"/>
        <v>5684060.8799999999</v>
      </c>
      <c r="T25" s="14">
        <f>+R25-S25</f>
        <v>-50060.879999999888</v>
      </c>
      <c r="U25" s="17">
        <f t="shared" si="5"/>
        <v>1.0088854952076678</v>
      </c>
    </row>
    <row r="26" spans="2:21" ht="27.75" customHeight="1">
      <c r="B26" s="18"/>
      <c r="C26" s="10"/>
      <c r="D26" s="10"/>
      <c r="E26" s="22" t="s">
        <v>29</v>
      </c>
      <c r="F26" s="12">
        <v>3866000</v>
      </c>
      <c r="G26" s="12">
        <v>2004243.53</v>
      </c>
      <c r="H26" s="12">
        <f>+F26-G26</f>
        <v>1861756.47</v>
      </c>
      <c r="I26" s="13"/>
      <c r="J26" s="12"/>
      <c r="K26" s="12"/>
      <c r="L26" s="12">
        <f>+J26-K26</f>
        <v>0</v>
      </c>
      <c r="M26" s="12"/>
      <c r="N26" s="12"/>
      <c r="O26" s="12"/>
      <c r="P26" s="12">
        <f>+N26-O26</f>
        <v>0</v>
      </c>
      <c r="Q26" s="13"/>
      <c r="R26" s="12">
        <f t="shared" si="6"/>
        <v>3866000</v>
      </c>
      <c r="S26" s="12">
        <f t="shared" si="6"/>
        <v>2004243.53</v>
      </c>
      <c r="T26" s="14">
        <f>+R26-S26</f>
        <v>1861756.47</v>
      </c>
      <c r="U26" s="17">
        <f t="shared" si="5"/>
        <v>0.51842822814278322</v>
      </c>
    </row>
    <row r="27" spans="2:21" ht="24.95" customHeight="1">
      <c r="B27" s="18"/>
      <c r="C27" s="10"/>
      <c r="D27" s="10"/>
      <c r="E27" s="22"/>
      <c r="F27" s="12"/>
      <c r="G27" s="12"/>
      <c r="H27" s="12"/>
      <c r="I27" s="13"/>
      <c r="J27" s="12"/>
      <c r="K27" s="12"/>
      <c r="L27" s="12"/>
      <c r="M27" s="12"/>
      <c r="N27" s="12"/>
      <c r="O27" s="12"/>
      <c r="P27" s="12"/>
      <c r="Q27" s="13"/>
      <c r="R27" s="12"/>
      <c r="S27" s="12"/>
      <c r="T27" s="14"/>
      <c r="U27" s="17"/>
    </row>
    <row r="28" spans="2:21" ht="24.95" customHeight="1">
      <c r="B28" s="18"/>
      <c r="C28" s="20" t="s">
        <v>30</v>
      </c>
      <c r="D28" s="20"/>
      <c r="E28" s="10"/>
      <c r="F28" s="12"/>
      <c r="G28" s="12"/>
      <c r="H28" s="12"/>
      <c r="I28" s="13"/>
      <c r="J28" s="12"/>
      <c r="K28" s="12"/>
      <c r="L28" s="12"/>
      <c r="M28" s="12"/>
      <c r="N28" s="12"/>
      <c r="O28" s="12"/>
      <c r="P28" s="12"/>
      <c r="Q28" s="13"/>
      <c r="R28" s="12"/>
      <c r="S28" s="12"/>
      <c r="T28" s="14"/>
      <c r="U28" s="17"/>
    </row>
    <row r="29" spans="2:21" ht="24.95" customHeight="1">
      <c r="B29" s="18"/>
      <c r="C29" s="20"/>
      <c r="D29" s="20"/>
      <c r="E29" s="10" t="s">
        <v>31</v>
      </c>
      <c r="F29" s="23">
        <v>25066000</v>
      </c>
      <c r="G29" s="23">
        <v>28837744.210000001</v>
      </c>
      <c r="H29" s="12">
        <f>+F29-G29</f>
        <v>-3771744.2100000009</v>
      </c>
      <c r="I29" s="13"/>
      <c r="J29" s="23">
        <v>1918000</v>
      </c>
      <c r="K29" s="23">
        <v>253029.54</v>
      </c>
      <c r="L29" s="12">
        <f>+J29-K29</f>
        <v>1664970.46</v>
      </c>
      <c r="M29" s="12"/>
      <c r="N29" s="23">
        <v>40200406</v>
      </c>
      <c r="O29" s="23">
        <v>39114324.270000003</v>
      </c>
      <c r="P29" s="12">
        <f>+N29-O29</f>
        <v>1086081.7299999967</v>
      </c>
      <c r="Q29" s="13"/>
      <c r="R29" s="12">
        <f t="shared" ref="R29:S32" si="7">+F29+J29+N29</f>
        <v>67184406</v>
      </c>
      <c r="S29" s="12">
        <f t="shared" si="7"/>
        <v>68205098.020000011</v>
      </c>
      <c r="T29" s="14">
        <f>+R29-S29</f>
        <v>-1020692.0200000107</v>
      </c>
      <c r="U29" s="17">
        <f t="shared" si="5"/>
        <v>1.015192394794709</v>
      </c>
    </row>
    <row r="30" spans="2:21" ht="28.5" customHeight="1">
      <c r="B30" s="18"/>
      <c r="C30" s="10"/>
      <c r="D30" s="10"/>
      <c r="E30" s="22" t="s">
        <v>32</v>
      </c>
      <c r="F30" s="12">
        <v>27174888</v>
      </c>
      <c r="G30" s="12">
        <v>27177090.670000002</v>
      </c>
      <c r="H30" s="12">
        <f>+F30-G30</f>
        <v>-2202.6700000017881</v>
      </c>
      <c r="I30" s="13"/>
      <c r="J30" s="12"/>
      <c r="K30" s="12"/>
      <c r="L30" s="12">
        <f>+J30-K30</f>
        <v>0</v>
      </c>
      <c r="M30" s="12"/>
      <c r="N30" s="12">
        <v>1957994</v>
      </c>
      <c r="O30" s="12">
        <v>1365425.32</v>
      </c>
      <c r="P30" s="12">
        <f>+N30-O30</f>
        <v>592568.67999999993</v>
      </c>
      <c r="Q30" s="13"/>
      <c r="R30" s="12">
        <f t="shared" si="7"/>
        <v>29132882</v>
      </c>
      <c r="S30" s="12">
        <f t="shared" si="7"/>
        <v>28542515.990000002</v>
      </c>
      <c r="T30" s="14">
        <f>+R30-S30</f>
        <v>590366.00999999791</v>
      </c>
      <c r="U30" s="17">
        <f t="shared" si="5"/>
        <v>0.97973540654165292</v>
      </c>
    </row>
    <row r="31" spans="2:21" ht="28.5" customHeight="1">
      <c r="B31" s="18"/>
      <c r="C31" s="10"/>
      <c r="D31" s="10"/>
      <c r="E31" s="22" t="s">
        <v>33</v>
      </c>
      <c r="F31" s="12">
        <v>14622000</v>
      </c>
      <c r="G31" s="12">
        <v>14275391.16</v>
      </c>
      <c r="H31" s="12">
        <f>+F31-G31</f>
        <v>346608.83999999985</v>
      </c>
      <c r="I31" s="13"/>
      <c r="J31" s="12"/>
      <c r="K31" s="12"/>
      <c r="L31" s="12">
        <f>+J31-K31</f>
        <v>0</v>
      </c>
      <c r="M31" s="12"/>
      <c r="N31" s="12"/>
      <c r="O31" s="12"/>
      <c r="P31" s="12">
        <f>+N31-O31</f>
        <v>0</v>
      </c>
      <c r="Q31" s="13"/>
      <c r="R31" s="12">
        <f t="shared" si="7"/>
        <v>14622000</v>
      </c>
      <c r="S31" s="12">
        <f t="shared" si="7"/>
        <v>14275391.16</v>
      </c>
      <c r="T31" s="14">
        <f>+R31-S31</f>
        <v>346608.83999999985</v>
      </c>
      <c r="U31" s="17">
        <f t="shared" si="5"/>
        <v>0.97629538777185065</v>
      </c>
    </row>
    <row r="32" spans="2:21" ht="28.5" customHeight="1">
      <c r="B32" s="18"/>
      <c r="C32" s="10"/>
      <c r="D32" s="10"/>
      <c r="E32" s="22" t="s">
        <v>34</v>
      </c>
      <c r="F32" s="12">
        <v>3385000</v>
      </c>
      <c r="G32" s="12">
        <v>3940629.66</v>
      </c>
      <c r="H32" s="12">
        <f>+F32-G32</f>
        <v>-555629.66000000015</v>
      </c>
      <c r="I32" s="13"/>
      <c r="J32" s="12"/>
      <c r="K32" s="12"/>
      <c r="L32" s="12">
        <f>+J32-K32</f>
        <v>0</v>
      </c>
      <c r="M32" s="12"/>
      <c r="N32" s="12"/>
      <c r="O32" s="12"/>
      <c r="P32" s="12">
        <f>+N32-O32</f>
        <v>0</v>
      </c>
      <c r="Q32" s="13"/>
      <c r="R32" s="12">
        <f t="shared" si="7"/>
        <v>3385000</v>
      </c>
      <c r="S32" s="12">
        <f t="shared" si="7"/>
        <v>3940629.66</v>
      </c>
      <c r="T32" s="14">
        <f>+R32-S32</f>
        <v>-555629.66000000015</v>
      </c>
      <c r="U32" s="17">
        <f t="shared" si="5"/>
        <v>1.1641446558345643</v>
      </c>
    </row>
    <row r="33" spans="2:23" ht="27.75" customHeight="1">
      <c r="B33" s="18"/>
      <c r="C33" s="10"/>
      <c r="D33" s="10"/>
      <c r="E33" s="22"/>
      <c r="F33" s="12"/>
      <c r="G33" s="12"/>
      <c r="H33" s="12"/>
      <c r="I33" s="13"/>
      <c r="J33" s="12"/>
      <c r="K33" s="12"/>
      <c r="L33" s="12"/>
      <c r="M33" s="12"/>
      <c r="N33" s="12"/>
      <c r="O33" s="12"/>
      <c r="P33" s="12"/>
      <c r="Q33" s="13"/>
      <c r="R33" s="12"/>
      <c r="S33" s="12"/>
      <c r="T33" s="14"/>
      <c r="U33" s="17"/>
    </row>
    <row r="34" spans="2:23" ht="24.95" customHeight="1">
      <c r="B34" s="18"/>
      <c r="C34" s="24" t="s">
        <v>35</v>
      </c>
      <c r="D34" s="10"/>
      <c r="E34" s="22"/>
      <c r="F34" s="12"/>
      <c r="G34" s="12"/>
      <c r="H34" s="12"/>
      <c r="I34" s="13"/>
      <c r="J34" s="12"/>
      <c r="K34" s="12"/>
      <c r="L34" s="12"/>
      <c r="M34" s="12"/>
      <c r="N34" s="12"/>
      <c r="O34" s="12"/>
      <c r="P34" s="12"/>
      <c r="Q34" s="13"/>
      <c r="R34" s="12"/>
      <c r="S34" s="12"/>
      <c r="T34" s="14"/>
      <c r="U34" s="17"/>
    </row>
    <row r="35" spans="2:23" ht="24.95" customHeight="1">
      <c r="B35" s="18"/>
      <c r="C35" s="10"/>
      <c r="D35" s="25" t="s">
        <v>36</v>
      </c>
      <c r="E35" s="26"/>
      <c r="F35" s="12">
        <v>26513000</v>
      </c>
      <c r="G35" s="12">
        <v>15409911.970000001</v>
      </c>
      <c r="H35" s="12">
        <f>+F35-G35</f>
        <v>11103088.029999999</v>
      </c>
      <c r="I35" s="13"/>
      <c r="J35" s="12"/>
      <c r="K35" s="12"/>
      <c r="L35" s="12">
        <f>+J35-K35</f>
        <v>0</v>
      </c>
      <c r="M35" s="12"/>
      <c r="N35" s="12">
        <v>632071</v>
      </c>
      <c r="O35" s="12"/>
      <c r="P35" s="12">
        <f>+N35-O35</f>
        <v>632071</v>
      </c>
      <c r="Q35" s="13"/>
      <c r="R35" s="12">
        <f t="shared" ref="R35:S46" si="8">+F35+J35+N35</f>
        <v>27145071</v>
      </c>
      <c r="S35" s="12">
        <f t="shared" si="8"/>
        <v>15409911.970000001</v>
      </c>
      <c r="T35" s="14">
        <f>+R35-S35</f>
        <v>11735159.029999999</v>
      </c>
      <c r="U35" s="17">
        <f t="shared" si="5"/>
        <v>0.56768729652613548</v>
      </c>
    </row>
    <row r="36" spans="2:23" ht="24.95" customHeight="1">
      <c r="B36" s="18"/>
      <c r="C36" s="10"/>
      <c r="D36" s="27" t="s">
        <v>37</v>
      </c>
      <c r="E36" s="22"/>
      <c r="F36" s="12">
        <v>42515031.719999999</v>
      </c>
      <c r="G36" s="12">
        <v>42506326.049999997</v>
      </c>
      <c r="H36" s="12">
        <f>+F36-G36</f>
        <v>8705.6700000017881</v>
      </c>
      <c r="I36" s="13"/>
      <c r="J36" s="12"/>
      <c r="K36" s="12"/>
      <c r="L36" s="12">
        <f>+J36-K36</f>
        <v>0</v>
      </c>
      <c r="M36" s="12"/>
      <c r="N36" s="12"/>
      <c r="O36" s="12"/>
      <c r="P36" s="12">
        <f>+N36-O36</f>
        <v>0</v>
      </c>
      <c r="Q36" s="13"/>
      <c r="R36" s="12">
        <f t="shared" si="8"/>
        <v>42515031.719999999</v>
      </c>
      <c r="S36" s="12">
        <f t="shared" si="8"/>
        <v>42506326.049999997</v>
      </c>
      <c r="T36" s="14">
        <f>+R36-S36</f>
        <v>8705.6700000017881</v>
      </c>
      <c r="U36" s="17">
        <f t="shared" si="5"/>
        <v>0.99979523312937091</v>
      </c>
    </row>
    <row r="37" spans="2:23" ht="24.95" customHeight="1">
      <c r="B37" s="18"/>
      <c r="C37" s="10"/>
      <c r="D37" s="28" t="s">
        <v>38</v>
      </c>
      <c r="E37" s="22"/>
      <c r="F37" s="12">
        <v>148673000</v>
      </c>
      <c r="G37" s="12">
        <v>25598182.289999999</v>
      </c>
      <c r="H37" s="12">
        <f>+F37-G37</f>
        <v>123074817.71000001</v>
      </c>
      <c r="I37" s="13"/>
      <c r="J37" s="12"/>
      <c r="K37" s="12"/>
      <c r="L37" s="12">
        <f>+J37-K37</f>
        <v>0</v>
      </c>
      <c r="M37" s="12"/>
      <c r="N37" s="12"/>
      <c r="O37" s="12">
        <v>27960.959999999999</v>
      </c>
      <c r="P37" s="12">
        <f>+N37-O37</f>
        <v>-27960.959999999999</v>
      </c>
      <c r="Q37" s="13"/>
      <c r="R37" s="12">
        <f t="shared" si="8"/>
        <v>148673000</v>
      </c>
      <c r="S37" s="12">
        <f t="shared" si="8"/>
        <v>25626143.25</v>
      </c>
      <c r="T37" s="14">
        <f>+R37-S37</f>
        <v>123046856.75</v>
      </c>
      <c r="U37" s="17">
        <f t="shared" si="5"/>
        <v>0.17236581793600722</v>
      </c>
    </row>
    <row r="38" spans="2:23" ht="24.95" customHeight="1">
      <c r="B38" s="18"/>
      <c r="C38" s="10"/>
      <c r="D38" s="28" t="s">
        <v>39</v>
      </c>
      <c r="E38" s="22"/>
      <c r="F38" s="12">
        <v>59325568.310000002</v>
      </c>
      <c r="G38" s="12">
        <v>59249951.93</v>
      </c>
      <c r="H38" s="12">
        <f>+F38-G38</f>
        <v>75616.380000002682</v>
      </c>
      <c r="I38" s="13"/>
      <c r="J38" s="12"/>
      <c r="K38" s="12"/>
      <c r="L38" s="12">
        <f>+J38-K38</f>
        <v>0</v>
      </c>
      <c r="M38" s="12"/>
      <c r="N38" s="12">
        <v>3305100</v>
      </c>
      <c r="O38" s="12">
        <v>2131271.5</v>
      </c>
      <c r="P38" s="12">
        <f>+N38-O38</f>
        <v>1173828.5</v>
      </c>
      <c r="Q38" s="13"/>
      <c r="R38" s="12">
        <f t="shared" si="8"/>
        <v>62630668.310000002</v>
      </c>
      <c r="S38" s="12">
        <f t="shared" si="8"/>
        <v>61381223.43</v>
      </c>
      <c r="T38" s="14">
        <f>+R38-S38</f>
        <v>1249444.8800000027</v>
      </c>
      <c r="U38" s="17">
        <f t="shared" si="5"/>
        <v>0.98005059001102002</v>
      </c>
    </row>
    <row r="39" spans="2:23" ht="24.95" customHeight="1">
      <c r="B39" s="18"/>
      <c r="C39" s="10"/>
      <c r="D39" s="28" t="s">
        <v>40</v>
      </c>
      <c r="E39" s="22"/>
      <c r="F39" s="12">
        <v>120968093</v>
      </c>
      <c r="G39" s="12">
        <v>60921020.370000005</v>
      </c>
      <c r="H39" s="12">
        <f t="shared" ref="H39:H44" si="9">+F39-G39</f>
        <v>60047072.629999995</v>
      </c>
      <c r="I39" s="13"/>
      <c r="J39" s="12"/>
      <c r="K39" s="12"/>
      <c r="L39" s="12">
        <f t="shared" ref="L39:L44" si="10">+J39-K39</f>
        <v>0</v>
      </c>
      <c r="M39" s="12"/>
      <c r="N39" s="12"/>
      <c r="O39" s="12"/>
      <c r="P39" s="12">
        <f t="shared" ref="P39:P44" si="11">+N39-O39</f>
        <v>0</v>
      </c>
      <c r="Q39" s="13"/>
      <c r="R39" s="12">
        <f t="shared" si="8"/>
        <v>120968093</v>
      </c>
      <c r="S39" s="12">
        <f t="shared" si="8"/>
        <v>60921020.370000005</v>
      </c>
      <c r="T39" s="14">
        <f t="shared" ref="T39:T46" si="12">+R39-S39</f>
        <v>60047072.629999995</v>
      </c>
      <c r="U39" s="17">
        <f t="shared" si="5"/>
        <v>0.50361230684193725</v>
      </c>
    </row>
    <row r="40" spans="2:23" ht="24.95" customHeight="1">
      <c r="B40" s="18"/>
      <c r="C40" s="10"/>
      <c r="D40" s="28" t="s">
        <v>41</v>
      </c>
      <c r="E40" s="22"/>
      <c r="F40" s="12">
        <v>16944000</v>
      </c>
      <c r="G40" s="12">
        <v>16934271.629999999</v>
      </c>
      <c r="H40" s="12">
        <f t="shared" si="9"/>
        <v>9728.3700000010431</v>
      </c>
      <c r="I40" s="13"/>
      <c r="J40" s="12"/>
      <c r="K40" s="12"/>
      <c r="L40" s="12">
        <f t="shared" si="10"/>
        <v>0</v>
      </c>
      <c r="M40" s="12"/>
      <c r="N40" s="12">
        <v>904197</v>
      </c>
      <c r="O40" s="12">
        <v>426773.38</v>
      </c>
      <c r="P40" s="12">
        <f t="shared" si="11"/>
        <v>477423.62</v>
      </c>
      <c r="Q40" s="13"/>
      <c r="R40" s="12">
        <f t="shared" si="8"/>
        <v>17848197</v>
      </c>
      <c r="S40" s="12">
        <f t="shared" si="8"/>
        <v>17361045.009999998</v>
      </c>
      <c r="T40" s="14">
        <f t="shared" si="12"/>
        <v>487151.99000000209</v>
      </c>
      <c r="U40" s="17">
        <f t="shared" si="5"/>
        <v>0.97270581504675224</v>
      </c>
    </row>
    <row r="41" spans="2:23" ht="24.95" customHeight="1">
      <c r="B41" s="18"/>
      <c r="C41" s="10"/>
      <c r="D41" s="28" t="s">
        <v>42</v>
      </c>
      <c r="E41" s="22"/>
      <c r="F41" s="12">
        <v>37385000</v>
      </c>
      <c r="G41" s="12">
        <v>29648083.25</v>
      </c>
      <c r="H41" s="12">
        <f t="shared" si="9"/>
        <v>7736916.75</v>
      </c>
      <c r="I41" s="13"/>
      <c r="J41" s="12">
        <f>200000+300000</f>
        <v>500000</v>
      </c>
      <c r="K41" s="12">
        <f>200000+300000</f>
        <v>500000</v>
      </c>
      <c r="L41" s="12">
        <f t="shared" si="10"/>
        <v>0</v>
      </c>
      <c r="M41" s="12"/>
      <c r="N41" s="12"/>
      <c r="O41" s="12"/>
      <c r="P41" s="12">
        <v>1753197.82</v>
      </c>
      <c r="Q41" s="13"/>
      <c r="R41" s="12">
        <f t="shared" si="8"/>
        <v>37885000</v>
      </c>
      <c r="S41" s="12">
        <f t="shared" si="8"/>
        <v>30148083.25</v>
      </c>
      <c r="T41" s="14">
        <f t="shared" si="12"/>
        <v>7736916.75</v>
      </c>
      <c r="U41" s="17">
        <f t="shared" si="5"/>
        <v>0.79577889006202984</v>
      </c>
    </row>
    <row r="42" spans="2:23" ht="24.95" customHeight="1">
      <c r="B42" s="18"/>
      <c r="C42" s="10"/>
      <c r="D42" s="25" t="s">
        <v>43</v>
      </c>
      <c r="E42" s="22"/>
      <c r="F42" s="12">
        <v>32976000</v>
      </c>
      <c r="G42" s="12">
        <v>21931069.91</v>
      </c>
      <c r="H42" s="12">
        <f t="shared" si="9"/>
        <v>11044930.09</v>
      </c>
      <c r="I42" s="13">
        <v>2208000</v>
      </c>
      <c r="J42" s="12"/>
      <c r="K42" s="12"/>
      <c r="L42" s="12">
        <f t="shared" si="10"/>
        <v>0</v>
      </c>
      <c r="M42" s="12"/>
      <c r="N42" s="12"/>
      <c r="O42" s="12"/>
      <c r="P42" s="12">
        <f t="shared" si="11"/>
        <v>0</v>
      </c>
      <c r="Q42" s="13"/>
      <c r="R42" s="12">
        <f t="shared" si="8"/>
        <v>32976000</v>
      </c>
      <c r="S42" s="12">
        <f t="shared" si="8"/>
        <v>21931069.91</v>
      </c>
      <c r="T42" s="14">
        <f t="shared" si="12"/>
        <v>11044930.09</v>
      </c>
      <c r="U42" s="17">
        <f t="shared" si="5"/>
        <v>0.66506155719311011</v>
      </c>
    </row>
    <row r="43" spans="2:23" ht="24.95" customHeight="1">
      <c r="B43" s="18"/>
      <c r="C43" s="10"/>
      <c r="D43" s="27" t="s">
        <v>44</v>
      </c>
      <c r="E43" s="22"/>
      <c r="F43" s="12">
        <v>21681000</v>
      </c>
      <c r="G43" s="12">
        <v>21696094.050000001</v>
      </c>
      <c r="H43" s="12">
        <f t="shared" si="9"/>
        <v>-15094.050000000745</v>
      </c>
      <c r="I43" s="13"/>
      <c r="J43" s="12">
        <v>12456701.1</v>
      </c>
      <c r="K43" s="12">
        <v>12402016.689999999</v>
      </c>
      <c r="L43" s="12">
        <f t="shared" si="10"/>
        <v>54684.410000000149</v>
      </c>
      <c r="M43" s="12"/>
      <c r="N43" s="12"/>
      <c r="O43" s="12"/>
      <c r="P43" s="12">
        <f t="shared" si="11"/>
        <v>0</v>
      </c>
      <c r="Q43" s="13"/>
      <c r="R43" s="12">
        <f t="shared" si="8"/>
        <v>34137701.100000001</v>
      </c>
      <c r="S43" s="12">
        <f t="shared" si="8"/>
        <v>34098110.740000002</v>
      </c>
      <c r="T43" s="14">
        <f t="shared" si="12"/>
        <v>39590.359999999404</v>
      </c>
      <c r="U43" s="17">
        <f t="shared" si="5"/>
        <v>0.99884027457256053</v>
      </c>
    </row>
    <row r="44" spans="2:23" ht="24.95" customHeight="1">
      <c r="B44" s="18"/>
      <c r="C44" s="10"/>
      <c r="D44" s="28" t="s">
        <v>45</v>
      </c>
      <c r="E44" s="22"/>
      <c r="F44" s="12">
        <v>24619000</v>
      </c>
      <c r="G44" s="12">
        <f>18608126.68+112662.01</f>
        <v>18720788.690000001</v>
      </c>
      <c r="H44" s="12">
        <f t="shared" si="9"/>
        <v>5898211.3099999987</v>
      </c>
      <c r="I44" s="13"/>
      <c r="J44" s="12"/>
      <c r="K44" s="12"/>
      <c r="L44" s="12">
        <f t="shared" si="10"/>
        <v>0</v>
      </c>
      <c r="M44" s="12"/>
      <c r="N44" s="12"/>
      <c r="O44" s="12"/>
      <c r="P44" s="12">
        <f t="shared" si="11"/>
        <v>0</v>
      </c>
      <c r="Q44" s="13"/>
      <c r="R44" s="12">
        <f t="shared" si="8"/>
        <v>24619000</v>
      </c>
      <c r="S44" s="12">
        <f t="shared" si="8"/>
        <v>18720788.690000001</v>
      </c>
      <c r="T44" s="14">
        <f t="shared" si="12"/>
        <v>5898211.3099999987</v>
      </c>
      <c r="U44" s="17">
        <f t="shared" si="5"/>
        <v>0.76042035379178685</v>
      </c>
    </row>
    <row r="45" spans="2:23" ht="24.95" customHeight="1">
      <c r="B45" s="18"/>
      <c r="C45" s="10"/>
      <c r="D45" s="29" t="s">
        <v>46</v>
      </c>
      <c r="E45" s="22"/>
      <c r="F45" s="12">
        <v>52978000</v>
      </c>
      <c r="G45" s="12">
        <v>53396663.450000003</v>
      </c>
      <c r="H45" s="12">
        <f>+F45-G45</f>
        <v>-418663.45000000298</v>
      </c>
      <c r="I45" s="13"/>
      <c r="J45" s="12"/>
      <c r="K45" s="12"/>
      <c r="L45" s="12">
        <f>+J45-K45</f>
        <v>0</v>
      </c>
      <c r="M45" s="12"/>
      <c r="N45" s="12">
        <f>2543948+209318+536019+185092</f>
        <v>3474377</v>
      </c>
      <c r="O45" s="12">
        <f>2243517.78+194675.39</f>
        <v>2438193.17</v>
      </c>
      <c r="P45" s="12">
        <f>+N45-O45</f>
        <v>1036183.8300000001</v>
      </c>
      <c r="Q45" s="13"/>
      <c r="R45" s="12">
        <f>+F45+J45+N45</f>
        <v>56452377</v>
      </c>
      <c r="S45" s="12">
        <f t="shared" si="8"/>
        <v>55834856.620000005</v>
      </c>
      <c r="T45" s="14">
        <f t="shared" si="12"/>
        <v>617520.37999999523</v>
      </c>
      <c r="U45" s="17">
        <f t="shared" si="5"/>
        <v>0.98906121561542049</v>
      </c>
      <c r="W45" s="30"/>
    </row>
    <row r="46" spans="2:23" ht="24.95" customHeight="1">
      <c r="B46" s="18"/>
      <c r="C46" s="10"/>
      <c r="D46" s="25" t="s">
        <v>47</v>
      </c>
      <c r="E46" s="22"/>
      <c r="F46" s="12">
        <v>36641500</v>
      </c>
      <c r="G46" s="12">
        <v>14399450.84</v>
      </c>
      <c r="H46" s="12">
        <f>+F46-G46</f>
        <v>22242049.16</v>
      </c>
      <c r="I46" s="13"/>
      <c r="J46" s="12"/>
      <c r="K46" s="12"/>
      <c r="L46" s="12">
        <f>+J46-K46</f>
        <v>0</v>
      </c>
      <c r="M46" s="12"/>
      <c r="N46" s="12"/>
      <c r="O46" s="12"/>
      <c r="P46" s="12">
        <f>+N46-O46</f>
        <v>0</v>
      </c>
      <c r="Q46" s="13"/>
      <c r="R46" s="12">
        <f>+F46+J46+N46</f>
        <v>36641500</v>
      </c>
      <c r="S46" s="12">
        <f t="shared" si="8"/>
        <v>14399450.84</v>
      </c>
      <c r="T46" s="14">
        <f t="shared" si="12"/>
        <v>22242049.16</v>
      </c>
      <c r="U46" s="17">
        <f t="shared" si="5"/>
        <v>0.39298202420752426</v>
      </c>
    </row>
    <row r="47" spans="2:23" ht="27.75" customHeight="1">
      <c r="B47" s="18"/>
      <c r="C47" s="10"/>
      <c r="D47" s="10"/>
      <c r="E47" s="22"/>
      <c r="F47" s="12"/>
      <c r="G47" s="12"/>
      <c r="H47" s="12"/>
      <c r="I47" s="13"/>
      <c r="J47" s="12"/>
      <c r="K47" s="12"/>
      <c r="L47" s="12"/>
      <c r="M47" s="12"/>
      <c r="N47" s="12"/>
      <c r="O47" s="12"/>
      <c r="P47" s="12"/>
      <c r="Q47" s="13"/>
      <c r="R47" s="12"/>
      <c r="S47" s="12"/>
      <c r="T47" s="14"/>
      <c r="U47" s="17"/>
    </row>
    <row r="48" spans="2:23" ht="24.95" customHeight="1">
      <c r="B48" s="18"/>
      <c r="C48" s="24" t="s">
        <v>48</v>
      </c>
      <c r="D48" s="10"/>
      <c r="E48" s="22"/>
      <c r="F48" s="12"/>
      <c r="G48" s="12"/>
      <c r="H48" s="12"/>
      <c r="I48" s="13"/>
      <c r="J48" s="12"/>
      <c r="K48" s="12"/>
      <c r="L48" s="12"/>
      <c r="M48" s="12"/>
      <c r="N48" s="12"/>
      <c r="O48" s="12"/>
      <c r="P48" s="12"/>
      <c r="Q48" s="13"/>
      <c r="R48" s="12"/>
      <c r="S48" s="12"/>
      <c r="T48" s="14"/>
      <c r="U48" s="17"/>
    </row>
    <row r="49" spans="2:21" ht="24.95" customHeight="1">
      <c r="B49" s="18"/>
      <c r="C49" s="10"/>
      <c r="D49" s="10"/>
      <c r="E49" s="10" t="s">
        <v>49</v>
      </c>
      <c r="F49" s="12">
        <v>10207000</v>
      </c>
      <c r="G49" s="12">
        <v>10207000</v>
      </c>
      <c r="H49" s="12">
        <f>+F49-G49</f>
        <v>0</v>
      </c>
      <c r="I49" s="13"/>
      <c r="J49" s="12"/>
      <c r="K49" s="12"/>
      <c r="L49" s="12">
        <f>+J49-K49</f>
        <v>0</v>
      </c>
      <c r="M49" s="12"/>
      <c r="N49" s="12"/>
      <c r="O49" s="12"/>
      <c r="P49" s="12">
        <f>+N49-O49</f>
        <v>0</v>
      </c>
      <c r="Q49" s="13"/>
      <c r="R49" s="12">
        <f>+F49+J49+N49</f>
        <v>10207000</v>
      </c>
      <c r="S49" s="12">
        <f>+G49+K49+O49</f>
        <v>10207000</v>
      </c>
      <c r="T49" s="14">
        <f>+R49-S49</f>
        <v>0</v>
      </c>
      <c r="U49" s="17">
        <f t="shared" si="5"/>
        <v>1</v>
      </c>
    </row>
    <row r="50" spans="2:21" ht="24.95" customHeight="1">
      <c r="B50" s="18"/>
      <c r="C50" s="10"/>
      <c r="D50" s="10"/>
      <c r="E50" s="10" t="s">
        <v>50</v>
      </c>
      <c r="F50" s="12">
        <v>36836000</v>
      </c>
      <c r="G50" s="12">
        <v>20921610.949999999</v>
      </c>
      <c r="H50" s="12">
        <f>+F50-G50</f>
        <v>15914389.050000001</v>
      </c>
      <c r="I50" s="13"/>
      <c r="J50" s="12"/>
      <c r="K50" s="12"/>
      <c r="L50" s="12">
        <f>+J50-K50</f>
        <v>0</v>
      </c>
      <c r="M50" s="12"/>
      <c r="N50" s="12"/>
      <c r="O50" s="12"/>
      <c r="P50" s="12">
        <f>+N50-O50</f>
        <v>0</v>
      </c>
      <c r="Q50" s="13"/>
      <c r="R50" s="12">
        <f>+F50+J50+N50</f>
        <v>36836000</v>
      </c>
      <c r="S50" s="12">
        <f>+G50+K50+O50</f>
        <v>20921610.949999999</v>
      </c>
      <c r="T50" s="14">
        <f>+R50-S50</f>
        <v>15914389.050000001</v>
      </c>
      <c r="U50" s="17">
        <f t="shared" si="5"/>
        <v>0.56796641736344877</v>
      </c>
    </row>
    <row r="51" spans="2:21" ht="27.75" customHeight="1">
      <c r="B51" s="18"/>
      <c r="C51" s="10"/>
      <c r="D51" s="10"/>
      <c r="E51" s="31" t="s">
        <v>51</v>
      </c>
      <c r="F51" s="32">
        <f t="shared" ref="F51:T51" si="13">SUM(F13:F48)</f>
        <v>829772081.02999997</v>
      </c>
      <c r="G51" s="32">
        <f t="shared" si="13"/>
        <v>549834385.82937491</v>
      </c>
      <c r="H51" s="32">
        <f t="shared" si="13"/>
        <v>279937695.200625</v>
      </c>
      <c r="I51" s="32">
        <f t="shared" si="13"/>
        <v>2208000</v>
      </c>
      <c r="J51" s="32">
        <f>SUM(J13:J48)</f>
        <v>14874701.1</v>
      </c>
      <c r="K51" s="32">
        <f>SUM(K13:K48)</f>
        <v>13155046.23</v>
      </c>
      <c r="L51" s="32">
        <f>SUM(L13:L48)</f>
        <v>1719654.87</v>
      </c>
      <c r="M51" s="32">
        <f t="shared" si="13"/>
        <v>0</v>
      </c>
      <c r="N51" s="32">
        <f>SUM(N13:N48)</f>
        <v>157579487</v>
      </c>
      <c r="O51" s="32">
        <f>SUM(O13:O48)</f>
        <v>70697646.090000004</v>
      </c>
      <c r="P51" s="32">
        <f>SUM(P13:P48)</f>
        <v>88635038.730000019</v>
      </c>
      <c r="Q51" s="32">
        <f t="shared" si="13"/>
        <v>0</v>
      </c>
      <c r="R51" s="32">
        <f t="shared" si="13"/>
        <v>1002226269.13</v>
      </c>
      <c r="S51" s="32">
        <f t="shared" si="13"/>
        <v>633687078.14937508</v>
      </c>
      <c r="T51" s="32">
        <f t="shared" si="13"/>
        <v>368539190.98062503</v>
      </c>
      <c r="U51" s="17">
        <f t="shared" si="5"/>
        <v>0.63227945391958063</v>
      </c>
    </row>
    <row r="52" spans="2:21" ht="27.75" customHeight="1">
      <c r="B52" s="18"/>
      <c r="C52" s="10"/>
      <c r="D52" s="10"/>
      <c r="E52" s="31"/>
      <c r="F52" s="32"/>
      <c r="G52" s="32"/>
      <c r="H52" s="32"/>
      <c r="I52" s="33"/>
      <c r="J52" s="32"/>
      <c r="K52" s="32"/>
      <c r="L52" s="32"/>
      <c r="M52" s="32"/>
      <c r="N52" s="32"/>
      <c r="O52" s="32"/>
      <c r="P52" s="32"/>
      <c r="Q52" s="33"/>
      <c r="R52" s="32"/>
      <c r="S52" s="32"/>
      <c r="T52" s="34"/>
      <c r="U52" s="17"/>
    </row>
    <row r="53" spans="2:21" ht="24.95" customHeight="1">
      <c r="B53" s="18"/>
      <c r="C53" s="24" t="s">
        <v>52</v>
      </c>
      <c r="D53" s="10"/>
      <c r="E53" s="22"/>
      <c r="F53" s="12">
        <f>SUM(F55:F80)</f>
        <v>436505674</v>
      </c>
      <c r="G53" s="12">
        <f t="shared" ref="G53:T53" si="14">SUM(G55:G80)</f>
        <v>359168804.63</v>
      </c>
      <c r="H53" s="12">
        <f t="shared" si="14"/>
        <v>77336869.370000005</v>
      </c>
      <c r="I53" s="12">
        <f t="shared" si="14"/>
        <v>0</v>
      </c>
      <c r="J53" s="12">
        <f>SUM(J55:J80)</f>
        <v>31118092</v>
      </c>
      <c r="K53" s="12">
        <f>SUM(K55:K80)</f>
        <v>5296000</v>
      </c>
      <c r="L53" s="12">
        <f>SUM(L55:L80)</f>
        <v>25822092</v>
      </c>
      <c r="M53" s="12">
        <f t="shared" si="14"/>
        <v>0</v>
      </c>
      <c r="N53" s="12">
        <f>SUM(N55:N80)</f>
        <v>41620749</v>
      </c>
      <c r="O53" s="12">
        <f>SUM(O55:O80)</f>
        <v>22736847.18</v>
      </c>
      <c r="P53" s="12">
        <f>SUM(P55:P80)</f>
        <v>18883901.82</v>
      </c>
      <c r="Q53" s="12">
        <f t="shared" si="14"/>
        <v>0</v>
      </c>
      <c r="R53" s="12">
        <f t="shared" si="14"/>
        <v>509244515</v>
      </c>
      <c r="S53" s="12">
        <f t="shared" si="14"/>
        <v>387201651.81000006</v>
      </c>
      <c r="T53" s="14">
        <f t="shared" si="14"/>
        <v>122042863.19</v>
      </c>
      <c r="U53" s="17">
        <f>+S53/R53</f>
        <v>0.76034525734656178</v>
      </c>
    </row>
    <row r="54" spans="2:21" ht="24.95" customHeight="1">
      <c r="B54" s="18"/>
      <c r="C54" s="20" t="s">
        <v>53</v>
      </c>
      <c r="D54" s="20"/>
      <c r="E54" s="10"/>
      <c r="F54" s="12"/>
      <c r="G54" s="12"/>
      <c r="H54" s="12">
        <f t="shared" ref="H54:H59" si="15">+F54-G54</f>
        <v>0</v>
      </c>
      <c r="I54" s="13"/>
      <c r="J54" s="12"/>
      <c r="K54" s="12"/>
      <c r="L54" s="12">
        <f t="shared" ref="L54:L59" si="16">+J54-K54</f>
        <v>0</v>
      </c>
      <c r="M54" s="12"/>
      <c r="N54" s="12"/>
      <c r="O54" s="12"/>
      <c r="P54" s="12">
        <f t="shared" ref="P54:P59" si="17">+N54-O54</f>
        <v>0</v>
      </c>
      <c r="Q54" s="13"/>
      <c r="R54" s="12"/>
      <c r="S54" s="12"/>
      <c r="T54" s="14"/>
      <c r="U54" s="17"/>
    </row>
    <row r="55" spans="2:21" ht="24.95" customHeight="1">
      <c r="B55" s="18"/>
      <c r="C55" s="20"/>
      <c r="D55" s="20"/>
      <c r="E55" s="10" t="s">
        <v>54</v>
      </c>
      <c r="F55" s="35">
        <f>63739000</f>
        <v>63739000</v>
      </c>
      <c r="G55" s="35">
        <v>14220225.789999999</v>
      </c>
      <c r="H55" s="12">
        <f t="shared" si="15"/>
        <v>49518774.210000001</v>
      </c>
      <c r="I55" s="13"/>
      <c r="J55" s="35"/>
      <c r="K55" s="35"/>
      <c r="L55" s="12">
        <f t="shared" si="16"/>
        <v>0</v>
      </c>
      <c r="M55" s="12"/>
      <c r="N55" s="35"/>
      <c r="O55" s="35"/>
      <c r="P55" s="12">
        <f t="shared" si="17"/>
        <v>0</v>
      </c>
      <c r="Q55" s="13"/>
      <c r="R55" s="12">
        <f>+F55+J55+N55</f>
        <v>63739000</v>
      </c>
      <c r="S55" s="12">
        <f t="shared" ref="R55:S59" si="18">+G55+K55+O55</f>
        <v>14220225.789999999</v>
      </c>
      <c r="T55" s="14">
        <f>+R55-S55</f>
        <v>49518774.210000001</v>
      </c>
      <c r="U55" s="17">
        <f t="shared" si="5"/>
        <v>0.22310086116820155</v>
      </c>
    </row>
    <row r="56" spans="2:21" ht="30" customHeight="1">
      <c r="B56" s="18"/>
      <c r="C56" s="10"/>
      <c r="D56" s="10"/>
      <c r="E56" s="21" t="s">
        <v>55</v>
      </c>
      <c r="F56" s="36">
        <v>29115097</v>
      </c>
      <c r="G56" s="37">
        <v>21364485.149999999</v>
      </c>
      <c r="H56" s="12">
        <f t="shared" si="15"/>
        <v>7750611.8500000015</v>
      </c>
      <c r="I56" s="13"/>
      <c r="J56" s="36"/>
      <c r="K56" s="37"/>
      <c r="L56" s="12">
        <f t="shared" si="16"/>
        <v>0</v>
      </c>
      <c r="M56" s="38"/>
      <c r="N56" s="36"/>
      <c r="O56" s="37"/>
      <c r="P56" s="12">
        <f t="shared" si="17"/>
        <v>0</v>
      </c>
      <c r="Q56" s="39"/>
      <c r="R56" s="38">
        <f t="shared" si="18"/>
        <v>29115097</v>
      </c>
      <c r="S56" s="38">
        <f t="shared" si="18"/>
        <v>21364485.149999999</v>
      </c>
      <c r="T56" s="40">
        <f>+R56-S56</f>
        <v>7750611.8500000015</v>
      </c>
      <c r="U56" s="17">
        <f t="shared" si="5"/>
        <v>0.73379405708316892</v>
      </c>
    </row>
    <row r="57" spans="2:21" ht="30" customHeight="1">
      <c r="B57" s="18"/>
      <c r="C57" s="10"/>
      <c r="D57" s="10"/>
      <c r="E57" s="21" t="s">
        <v>56</v>
      </c>
      <c r="F57" s="12">
        <v>4170000</v>
      </c>
      <c r="G57" s="12">
        <v>3771246</v>
      </c>
      <c r="H57" s="12">
        <f t="shared" si="15"/>
        <v>398754</v>
      </c>
      <c r="I57" s="13"/>
      <c r="J57" s="12"/>
      <c r="K57" s="12"/>
      <c r="L57" s="12">
        <f t="shared" si="16"/>
        <v>0</v>
      </c>
      <c r="M57" s="12"/>
      <c r="N57" s="12"/>
      <c r="O57" s="12"/>
      <c r="P57" s="12">
        <f t="shared" si="17"/>
        <v>0</v>
      </c>
      <c r="Q57" s="13"/>
      <c r="R57" s="12">
        <f t="shared" si="18"/>
        <v>4170000</v>
      </c>
      <c r="S57" s="12">
        <f t="shared" si="18"/>
        <v>3771246</v>
      </c>
      <c r="T57" s="14">
        <f>+R57-S57</f>
        <v>398754</v>
      </c>
      <c r="U57" s="17">
        <f t="shared" si="5"/>
        <v>0.90437553956834538</v>
      </c>
    </row>
    <row r="58" spans="2:21" ht="24.95" customHeight="1">
      <c r="B58" s="18"/>
      <c r="C58" s="10"/>
      <c r="D58" s="10"/>
      <c r="E58" s="28" t="s">
        <v>57</v>
      </c>
      <c r="F58" s="12">
        <v>1493000</v>
      </c>
      <c r="G58" s="12">
        <v>1379218.3199999996</v>
      </c>
      <c r="H58" s="12">
        <f t="shared" si="15"/>
        <v>113781.6800000004</v>
      </c>
      <c r="I58" s="13"/>
      <c r="J58" s="12"/>
      <c r="K58" s="12"/>
      <c r="L58" s="12">
        <f t="shared" si="16"/>
        <v>0</v>
      </c>
      <c r="M58" s="12"/>
      <c r="N58" s="12"/>
      <c r="O58" s="12"/>
      <c r="P58" s="12">
        <f t="shared" si="17"/>
        <v>0</v>
      </c>
      <c r="Q58" s="13"/>
      <c r="R58" s="12">
        <f t="shared" si="18"/>
        <v>1493000</v>
      </c>
      <c r="S58" s="12">
        <f t="shared" si="18"/>
        <v>1379218.3199999996</v>
      </c>
      <c r="T58" s="14">
        <f>+R58-S58</f>
        <v>113781.6800000004</v>
      </c>
      <c r="U58" s="17">
        <f t="shared" si="5"/>
        <v>0.9237898995311451</v>
      </c>
    </row>
    <row r="59" spans="2:21" ht="29.25" customHeight="1">
      <c r="B59" s="18"/>
      <c r="C59" s="10"/>
      <c r="D59" s="10"/>
      <c r="E59" s="21" t="s">
        <v>58</v>
      </c>
      <c r="F59" s="12">
        <v>2429000</v>
      </c>
      <c r="G59" s="12">
        <v>1765803.69</v>
      </c>
      <c r="H59" s="12">
        <f t="shared" si="15"/>
        <v>663196.31000000006</v>
      </c>
      <c r="I59" s="13"/>
      <c r="J59" s="12"/>
      <c r="K59" s="12"/>
      <c r="L59" s="12">
        <f t="shared" si="16"/>
        <v>0</v>
      </c>
      <c r="M59" s="12"/>
      <c r="N59" s="12"/>
      <c r="O59" s="12"/>
      <c r="P59" s="12">
        <f t="shared" si="17"/>
        <v>0</v>
      </c>
      <c r="Q59" s="13"/>
      <c r="R59" s="12">
        <f t="shared" si="18"/>
        <v>2429000</v>
      </c>
      <c r="S59" s="12">
        <f t="shared" si="18"/>
        <v>1765803.69</v>
      </c>
      <c r="T59" s="14">
        <f>+R59-S59</f>
        <v>663196.31000000006</v>
      </c>
      <c r="U59" s="17">
        <f t="shared" si="5"/>
        <v>0.72696734870317004</v>
      </c>
    </row>
    <row r="60" spans="2:21" ht="24.95" customHeight="1">
      <c r="B60" s="18"/>
      <c r="C60" s="10"/>
      <c r="D60" s="10"/>
      <c r="E60" s="21"/>
      <c r="F60" s="12"/>
      <c r="G60" s="12"/>
      <c r="H60" s="12"/>
      <c r="I60" s="13"/>
      <c r="J60" s="12"/>
      <c r="K60" s="12"/>
      <c r="L60" s="12"/>
      <c r="M60" s="12"/>
      <c r="N60" s="12"/>
      <c r="O60" s="12"/>
      <c r="P60" s="12"/>
      <c r="Q60" s="13"/>
      <c r="R60" s="12"/>
      <c r="S60" s="12"/>
      <c r="T60" s="14"/>
      <c r="U60" s="17"/>
    </row>
    <row r="61" spans="2:21" ht="24.95" customHeight="1">
      <c r="B61" s="18"/>
      <c r="C61" s="20" t="s">
        <v>59</v>
      </c>
      <c r="D61" s="20"/>
      <c r="E61" s="10"/>
      <c r="F61" s="12"/>
      <c r="G61" s="12"/>
      <c r="H61" s="12"/>
      <c r="I61" s="13"/>
      <c r="J61" s="12"/>
      <c r="K61" s="12"/>
      <c r="L61" s="12"/>
      <c r="M61" s="12"/>
      <c r="N61" s="12"/>
      <c r="O61" s="12"/>
      <c r="P61" s="12"/>
      <c r="Q61" s="13"/>
      <c r="R61" s="12"/>
      <c r="S61" s="12"/>
      <c r="T61" s="14"/>
      <c r="U61" s="17"/>
    </row>
    <row r="62" spans="2:21" ht="24.95" customHeight="1">
      <c r="B62" s="18"/>
      <c r="C62" s="20"/>
      <c r="D62" s="20"/>
      <c r="E62" s="10" t="s">
        <v>60</v>
      </c>
      <c r="F62" s="12">
        <v>12085722</v>
      </c>
      <c r="G62" s="12">
        <v>9214945.7699999996</v>
      </c>
      <c r="H62" s="12">
        <f>+F62-G62</f>
        <v>2870776.2300000004</v>
      </c>
      <c r="I62" s="13"/>
      <c r="J62" s="12">
        <v>30174092</v>
      </c>
      <c r="K62" s="12">
        <v>4352000</v>
      </c>
      <c r="L62" s="12">
        <f>+J62-K62</f>
        <v>25822092</v>
      </c>
      <c r="M62" s="12"/>
      <c r="N62" s="12">
        <v>528315</v>
      </c>
      <c r="O62" s="12">
        <v>528314.5</v>
      </c>
      <c r="P62" s="12">
        <f>+N62-O62</f>
        <v>0.5</v>
      </c>
      <c r="Q62" s="13"/>
      <c r="R62" s="12">
        <f t="shared" ref="R62:S65" si="19">+F62+J62+N62</f>
        <v>42788129</v>
      </c>
      <c r="S62" s="12">
        <f t="shared" si="19"/>
        <v>14095260.27</v>
      </c>
      <c r="T62" s="14">
        <f>+R62-S62</f>
        <v>28692868.73</v>
      </c>
      <c r="U62" s="17">
        <f t="shared" si="5"/>
        <v>0.32941987881732337</v>
      </c>
    </row>
    <row r="63" spans="2:21" ht="30" customHeight="1">
      <c r="B63" s="18"/>
      <c r="C63" s="10"/>
      <c r="D63" s="10"/>
      <c r="E63" s="21" t="s">
        <v>61</v>
      </c>
      <c r="F63" s="12">
        <f>9903902+9575000</f>
        <v>19478902</v>
      </c>
      <c r="G63" s="12">
        <v>11440344.609999999</v>
      </c>
      <c r="H63" s="12">
        <f>+F63-G63</f>
        <v>8038557.3900000006</v>
      </c>
      <c r="I63" s="13"/>
      <c r="J63" s="12"/>
      <c r="K63" s="12"/>
      <c r="L63" s="12">
        <f>+J63-K63</f>
        <v>0</v>
      </c>
      <c r="M63" s="12"/>
      <c r="N63" s="12"/>
      <c r="O63" s="12"/>
      <c r="P63" s="12">
        <f>+N63-O63</f>
        <v>0</v>
      </c>
      <c r="Q63" s="13"/>
      <c r="R63" s="12">
        <f t="shared" si="19"/>
        <v>19478902</v>
      </c>
      <c r="S63" s="12">
        <f t="shared" si="19"/>
        <v>11440344.609999999</v>
      </c>
      <c r="T63" s="14">
        <f>+R63-S63</f>
        <v>8038557.3900000006</v>
      </c>
      <c r="U63" s="17">
        <f t="shared" si="5"/>
        <v>0.58731978886694947</v>
      </c>
    </row>
    <row r="64" spans="2:21" ht="30" customHeight="1">
      <c r="B64" s="18"/>
      <c r="C64" s="10"/>
      <c r="D64" s="10"/>
      <c r="E64" s="22" t="s">
        <v>62</v>
      </c>
      <c r="F64" s="12">
        <v>20205693</v>
      </c>
      <c r="G64" s="12">
        <v>20339672.289999999</v>
      </c>
      <c r="H64" s="12">
        <f>+F64-G64</f>
        <v>-133979.28999999911</v>
      </c>
      <c r="I64" s="13"/>
      <c r="J64" s="12"/>
      <c r="K64" s="12"/>
      <c r="L64" s="12">
        <f>+J64-K64</f>
        <v>0</v>
      </c>
      <c r="M64" s="12"/>
      <c r="N64" s="12"/>
      <c r="O64" s="12"/>
      <c r="P64" s="12">
        <f>+N64-O64</f>
        <v>0</v>
      </c>
      <c r="Q64" s="13"/>
      <c r="R64" s="12">
        <f t="shared" si="19"/>
        <v>20205693</v>
      </c>
      <c r="S64" s="12">
        <f t="shared" si="19"/>
        <v>20339672.289999999</v>
      </c>
      <c r="T64" s="14">
        <f>+R64-S64</f>
        <v>-133979.28999999911</v>
      </c>
      <c r="U64" s="17">
        <f t="shared" si="5"/>
        <v>1.0066307693579231</v>
      </c>
    </row>
    <row r="65" spans="2:21" ht="30" customHeight="1">
      <c r="B65" s="18"/>
      <c r="C65" s="10"/>
      <c r="D65" s="10"/>
      <c r="E65" s="21" t="s">
        <v>63</v>
      </c>
      <c r="F65" s="12">
        <v>14094444</v>
      </c>
      <c r="G65" s="12">
        <v>16105844.390000001</v>
      </c>
      <c r="H65" s="12">
        <f>+F65-G65</f>
        <v>-2011400.3900000006</v>
      </c>
      <c r="I65" s="13"/>
      <c r="J65" s="12"/>
      <c r="K65" s="12"/>
      <c r="L65" s="12">
        <f>+J65-K65</f>
        <v>0</v>
      </c>
      <c r="M65" s="12"/>
      <c r="N65" s="12"/>
      <c r="O65" s="12"/>
      <c r="P65" s="12">
        <f>+N65-O65</f>
        <v>0</v>
      </c>
      <c r="Q65" s="13"/>
      <c r="R65" s="12">
        <f t="shared" si="19"/>
        <v>14094444</v>
      </c>
      <c r="S65" s="12">
        <f t="shared" si="19"/>
        <v>16105844.390000001</v>
      </c>
      <c r="T65" s="14">
        <f>+R65-S65</f>
        <v>-2011400.3900000006</v>
      </c>
      <c r="U65" s="17">
        <f t="shared" si="5"/>
        <v>1.1427087432466296</v>
      </c>
    </row>
    <row r="66" spans="2:21" ht="24.95" customHeight="1">
      <c r="B66" s="18"/>
      <c r="C66" s="10"/>
      <c r="D66" s="10"/>
      <c r="E66" s="21"/>
      <c r="F66" s="12"/>
      <c r="G66" s="12"/>
      <c r="H66" s="12"/>
      <c r="I66" s="13"/>
      <c r="J66" s="12"/>
      <c r="K66" s="12"/>
      <c r="L66" s="12"/>
      <c r="M66" s="12"/>
      <c r="N66" s="12"/>
      <c r="O66" s="12"/>
      <c r="P66" s="12"/>
      <c r="Q66" s="13"/>
      <c r="R66" s="12"/>
      <c r="S66" s="12"/>
      <c r="T66" s="14"/>
      <c r="U66" s="17"/>
    </row>
    <row r="67" spans="2:21" ht="24.95" customHeight="1">
      <c r="B67" s="18"/>
      <c r="C67" s="20" t="s">
        <v>64</v>
      </c>
      <c r="D67" s="20"/>
      <c r="E67" s="10"/>
      <c r="F67" s="12"/>
      <c r="G67" s="12"/>
      <c r="H67" s="12"/>
      <c r="I67" s="13"/>
      <c r="J67" s="12"/>
      <c r="K67" s="12"/>
      <c r="L67" s="12"/>
      <c r="M67" s="12"/>
      <c r="N67" s="12"/>
      <c r="O67" s="12"/>
      <c r="P67" s="12"/>
      <c r="Q67" s="13"/>
      <c r="R67" s="12"/>
      <c r="S67" s="12"/>
      <c r="T67" s="14"/>
      <c r="U67" s="17"/>
    </row>
    <row r="68" spans="2:21" ht="24.95" customHeight="1">
      <c r="B68" s="18"/>
      <c r="C68" s="20"/>
      <c r="D68" s="20"/>
      <c r="E68" s="10" t="s">
        <v>65</v>
      </c>
      <c r="F68" s="12">
        <v>84745599</v>
      </c>
      <c r="G68" s="12">
        <v>86328769.849999994</v>
      </c>
      <c r="H68" s="12">
        <f>+F68-G68</f>
        <v>-1583170.849999994</v>
      </c>
      <c r="I68" s="13"/>
      <c r="J68" s="12">
        <v>944000</v>
      </c>
      <c r="K68" s="12">
        <v>944000</v>
      </c>
      <c r="L68" s="12">
        <f>+J68-K68</f>
        <v>0</v>
      </c>
      <c r="M68" s="12"/>
      <c r="N68" s="12">
        <v>163725</v>
      </c>
      <c r="O68" s="12">
        <v>163725</v>
      </c>
      <c r="P68" s="12">
        <f>+N68-O68</f>
        <v>0</v>
      </c>
      <c r="Q68" s="13"/>
      <c r="R68" s="12">
        <f t="shared" ref="R68:S72" si="20">+F68+J68+N68</f>
        <v>85853324</v>
      </c>
      <c r="S68" s="12">
        <f t="shared" si="20"/>
        <v>87436494.849999994</v>
      </c>
      <c r="T68" s="14">
        <f>+R68-S68</f>
        <v>-1583170.849999994</v>
      </c>
      <c r="U68" s="17">
        <f t="shared" si="5"/>
        <v>1.0184404141416818</v>
      </c>
    </row>
    <row r="69" spans="2:21" ht="30.75" customHeight="1">
      <c r="B69" s="18"/>
      <c r="C69" s="10"/>
      <c r="D69" s="10"/>
      <c r="E69" s="21" t="s">
        <v>66</v>
      </c>
      <c r="F69" s="12">
        <v>25635000</v>
      </c>
      <c r="G69" s="12">
        <v>25635000</v>
      </c>
      <c r="H69" s="12">
        <f>+F69-G69</f>
        <v>0</v>
      </c>
      <c r="I69" s="13"/>
      <c r="J69" s="12"/>
      <c r="K69" s="12"/>
      <c r="L69" s="12">
        <f>+J69-K69</f>
        <v>0</v>
      </c>
      <c r="M69" s="12"/>
      <c r="N69" s="12">
        <v>461629</v>
      </c>
      <c r="O69" s="12">
        <v>461628</v>
      </c>
      <c r="P69" s="12">
        <f>+N69-O69</f>
        <v>1</v>
      </c>
      <c r="Q69" s="13"/>
      <c r="R69" s="12">
        <f t="shared" si="20"/>
        <v>26096629</v>
      </c>
      <c r="S69" s="12">
        <f t="shared" si="20"/>
        <v>26096628</v>
      </c>
      <c r="T69" s="14">
        <f>+R69-S69</f>
        <v>1</v>
      </c>
      <c r="U69" s="17">
        <f t="shared" si="5"/>
        <v>0.99999996168087457</v>
      </c>
    </row>
    <row r="70" spans="2:21" ht="30.75" customHeight="1">
      <c r="B70" s="18"/>
      <c r="C70" s="10"/>
      <c r="D70" s="10"/>
      <c r="E70" s="21" t="s">
        <v>67</v>
      </c>
      <c r="F70" s="12">
        <v>10332000</v>
      </c>
      <c r="G70" s="12">
        <v>10955746.199999999</v>
      </c>
      <c r="H70" s="12">
        <f>+F70-G70</f>
        <v>-623746.19999999925</v>
      </c>
      <c r="I70" s="13"/>
      <c r="J70" s="12"/>
      <c r="K70" s="12"/>
      <c r="L70" s="12">
        <f>+J70-K70</f>
        <v>0</v>
      </c>
      <c r="M70" s="12"/>
      <c r="N70" s="12"/>
      <c r="O70" s="12"/>
      <c r="P70" s="12">
        <f>+N70-O70</f>
        <v>0</v>
      </c>
      <c r="Q70" s="13"/>
      <c r="R70" s="12">
        <f t="shared" si="20"/>
        <v>10332000</v>
      </c>
      <c r="S70" s="12">
        <f t="shared" si="20"/>
        <v>10955746.199999999</v>
      </c>
      <c r="T70" s="14">
        <f>+R70-S70</f>
        <v>-623746.19999999925</v>
      </c>
      <c r="U70" s="17">
        <f t="shared" si="5"/>
        <v>1.0603703252032519</v>
      </c>
    </row>
    <row r="71" spans="2:21" ht="30.75" customHeight="1">
      <c r="B71" s="18"/>
      <c r="C71" s="10"/>
      <c r="D71" s="10"/>
      <c r="E71" s="22" t="s">
        <v>68</v>
      </c>
      <c r="F71" s="12">
        <v>19218000</v>
      </c>
      <c r="G71" s="12">
        <v>17124963.640000001</v>
      </c>
      <c r="H71" s="12">
        <f>+F71-G71</f>
        <v>2093036.3599999994</v>
      </c>
      <c r="I71" s="13"/>
      <c r="J71" s="12"/>
      <c r="K71" s="12"/>
      <c r="L71" s="12">
        <f>+J71-K71</f>
        <v>0</v>
      </c>
      <c r="M71" s="12"/>
      <c r="N71" s="12"/>
      <c r="O71" s="12"/>
      <c r="P71" s="12">
        <f>+N71-O71</f>
        <v>0</v>
      </c>
      <c r="Q71" s="13"/>
      <c r="R71" s="12">
        <f t="shared" si="20"/>
        <v>19218000</v>
      </c>
      <c r="S71" s="12">
        <f t="shared" si="20"/>
        <v>17124963.640000001</v>
      </c>
      <c r="T71" s="14">
        <f>+R71-S71</f>
        <v>2093036.3599999994</v>
      </c>
      <c r="U71" s="17">
        <f t="shared" si="5"/>
        <v>0.89108979290248724</v>
      </c>
    </row>
    <row r="72" spans="2:21" ht="24.95" customHeight="1">
      <c r="B72" s="18"/>
      <c r="C72" s="10"/>
      <c r="D72" s="10"/>
      <c r="E72" s="41" t="s">
        <v>69</v>
      </c>
      <c r="F72" s="12">
        <v>4167000</v>
      </c>
      <c r="G72" s="12">
        <v>3113069.7</v>
      </c>
      <c r="H72" s="12">
        <f>+F72-G72</f>
        <v>1053930.2999999998</v>
      </c>
      <c r="I72" s="13"/>
      <c r="J72" s="12"/>
      <c r="K72" s="12"/>
      <c r="L72" s="12">
        <f>+J72-K72</f>
        <v>0</v>
      </c>
      <c r="M72" s="12"/>
      <c r="N72" s="12">
        <v>31344000</v>
      </c>
      <c r="O72" s="12">
        <v>12503759.84</v>
      </c>
      <c r="P72" s="12">
        <f>+N72-O72</f>
        <v>18840240.16</v>
      </c>
      <c r="Q72" s="13"/>
      <c r="R72" s="12">
        <f t="shared" si="20"/>
        <v>35511000</v>
      </c>
      <c r="S72" s="12">
        <f t="shared" si="20"/>
        <v>15616829.539999999</v>
      </c>
      <c r="T72" s="14">
        <f>+R72-S72</f>
        <v>19894170.460000001</v>
      </c>
      <c r="U72" s="17">
        <f t="shared" si="5"/>
        <v>0.4397744231364929</v>
      </c>
    </row>
    <row r="73" spans="2:21" ht="24.95" customHeight="1">
      <c r="B73" s="18"/>
      <c r="C73" s="10"/>
      <c r="D73" s="10"/>
      <c r="E73" s="41"/>
      <c r="F73" s="12"/>
      <c r="G73" s="12"/>
      <c r="H73" s="12"/>
      <c r="I73" s="13"/>
      <c r="J73" s="12"/>
      <c r="K73" s="12"/>
      <c r="L73" s="12"/>
      <c r="M73" s="12"/>
      <c r="N73" s="12"/>
      <c r="O73" s="12"/>
      <c r="P73" s="12"/>
      <c r="Q73" s="13"/>
      <c r="R73" s="12"/>
      <c r="S73" s="12"/>
      <c r="T73" s="14"/>
      <c r="U73" s="17"/>
    </row>
    <row r="74" spans="2:21" ht="24.95" customHeight="1">
      <c r="B74" s="18"/>
      <c r="C74" s="20" t="s">
        <v>70</v>
      </c>
      <c r="D74" s="20"/>
      <c r="E74" s="10"/>
      <c r="F74" s="12"/>
      <c r="G74" s="12"/>
      <c r="H74" s="12"/>
      <c r="I74" s="13"/>
      <c r="J74" s="12"/>
      <c r="K74" s="12"/>
      <c r="L74" s="12"/>
      <c r="M74" s="12"/>
      <c r="N74" s="12"/>
      <c r="O74" s="12"/>
      <c r="P74" s="12"/>
      <c r="Q74" s="13"/>
      <c r="R74" s="12"/>
      <c r="S74" s="12"/>
      <c r="T74" s="14"/>
      <c r="U74" s="17"/>
    </row>
    <row r="75" spans="2:21" ht="24.95" customHeight="1">
      <c r="B75" s="18"/>
      <c r="C75" s="20"/>
      <c r="D75" s="20"/>
      <c r="E75" s="10" t="s">
        <v>71</v>
      </c>
      <c r="F75" s="12">
        <v>73843540</v>
      </c>
      <c r="G75" s="12">
        <v>61418604.159999996</v>
      </c>
      <c r="H75" s="12">
        <f t="shared" ref="H75:H80" si="21">+F75-G75</f>
        <v>12424935.840000004</v>
      </c>
      <c r="I75" s="13"/>
      <c r="J75" s="12"/>
      <c r="K75" s="12"/>
      <c r="L75" s="12">
        <f t="shared" ref="L75:L80" si="22">+J75-K75</f>
        <v>0</v>
      </c>
      <c r="M75" s="12"/>
      <c r="N75" s="12">
        <v>9123080</v>
      </c>
      <c r="O75" s="12">
        <v>9079419.8399999999</v>
      </c>
      <c r="P75" s="12">
        <f t="shared" ref="P75:P80" si="23">+N75-O75</f>
        <v>43660.160000000149</v>
      </c>
      <c r="Q75" s="13"/>
      <c r="R75" s="12">
        <f t="shared" ref="R75:S80" si="24">+F75+J75+N75</f>
        <v>82966620</v>
      </c>
      <c r="S75" s="12">
        <f t="shared" si="24"/>
        <v>70498024</v>
      </c>
      <c r="T75" s="14">
        <f t="shared" ref="T75:T80" si="25">+R75-S75</f>
        <v>12468596</v>
      </c>
      <c r="U75" s="17">
        <f t="shared" ref="U75:U137" si="26">+S75/R75</f>
        <v>0.84971551209389995</v>
      </c>
    </row>
    <row r="76" spans="2:21" ht="28.5" customHeight="1">
      <c r="B76" s="18"/>
      <c r="C76" s="10"/>
      <c r="D76" s="10"/>
      <c r="E76" s="21" t="s">
        <v>72</v>
      </c>
      <c r="F76" s="12">
        <v>19802000</v>
      </c>
      <c r="G76" s="12">
        <v>27921048.100000001</v>
      </c>
      <c r="H76" s="12">
        <f t="shared" si="21"/>
        <v>-8119048.1000000015</v>
      </c>
      <c r="I76" s="13"/>
      <c r="J76" s="12"/>
      <c r="K76" s="12"/>
      <c r="L76" s="12">
        <f t="shared" si="22"/>
        <v>0</v>
      </c>
      <c r="M76" s="12"/>
      <c r="N76" s="12"/>
      <c r="O76" s="12"/>
      <c r="P76" s="12">
        <f t="shared" si="23"/>
        <v>0</v>
      </c>
      <c r="Q76" s="13"/>
      <c r="R76" s="12">
        <f t="shared" si="24"/>
        <v>19802000</v>
      </c>
      <c r="S76" s="12">
        <f t="shared" si="24"/>
        <v>27921048.100000001</v>
      </c>
      <c r="T76" s="14">
        <f t="shared" si="25"/>
        <v>-8119048.1000000015</v>
      </c>
      <c r="U76" s="17">
        <f t="shared" si="26"/>
        <v>1.410011519038481</v>
      </c>
    </row>
    <row r="77" spans="2:21" ht="28.5" customHeight="1">
      <c r="B77" s="18"/>
      <c r="C77" s="10"/>
      <c r="D77" s="10"/>
      <c r="E77" s="21" t="s">
        <v>73</v>
      </c>
      <c r="F77" s="12">
        <v>1794000</v>
      </c>
      <c r="G77" s="12">
        <v>1709568.4</v>
      </c>
      <c r="H77" s="12">
        <f t="shared" si="21"/>
        <v>84431.600000000093</v>
      </c>
      <c r="I77" s="13"/>
      <c r="J77" s="12"/>
      <c r="K77" s="12"/>
      <c r="L77" s="12">
        <f t="shared" si="22"/>
        <v>0</v>
      </c>
      <c r="M77" s="12"/>
      <c r="N77" s="12"/>
      <c r="O77" s="12"/>
      <c r="P77" s="12">
        <f t="shared" si="23"/>
        <v>0</v>
      </c>
      <c r="Q77" s="13"/>
      <c r="R77" s="12">
        <f t="shared" si="24"/>
        <v>1794000</v>
      </c>
      <c r="S77" s="12">
        <f t="shared" si="24"/>
        <v>1709568.4</v>
      </c>
      <c r="T77" s="14">
        <f t="shared" si="25"/>
        <v>84431.600000000093</v>
      </c>
      <c r="U77" s="17">
        <f t="shared" si="26"/>
        <v>0.95293667781493863</v>
      </c>
    </row>
    <row r="78" spans="2:21" ht="28.5" customHeight="1">
      <c r="B78" s="18"/>
      <c r="C78" s="10"/>
      <c r="D78" s="10"/>
      <c r="E78" s="21" t="s">
        <v>74</v>
      </c>
      <c r="F78" s="12">
        <v>14315000</v>
      </c>
      <c r="G78" s="12">
        <v>14035464.42</v>
      </c>
      <c r="H78" s="12">
        <f t="shared" si="21"/>
        <v>279535.58000000007</v>
      </c>
      <c r="I78" s="13"/>
      <c r="J78" s="12"/>
      <c r="K78" s="12"/>
      <c r="L78" s="12">
        <f t="shared" si="22"/>
        <v>0</v>
      </c>
      <c r="M78" s="12"/>
      <c r="N78" s="12"/>
      <c r="O78" s="12"/>
      <c r="P78" s="12">
        <f t="shared" si="23"/>
        <v>0</v>
      </c>
      <c r="Q78" s="13"/>
      <c r="R78" s="12">
        <f t="shared" si="24"/>
        <v>14315000</v>
      </c>
      <c r="S78" s="12">
        <f t="shared" si="24"/>
        <v>14035464.42</v>
      </c>
      <c r="T78" s="14">
        <f t="shared" si="25"/>
        <v>279535.58000000007</v>
      </c>
      <c r="U78" s="17">
        <f t="shared" si="26"/>
        <v>0.98047254069158229</v>
      </c>
    </row>
    <row r="79" spans="2:21" ht="24.95" customHeight="1">
      <c r="B79" s="18"/>
      <c r="C79" s="10"/>
      <c r="D79" s="10"/>
      <c r="E79" s="28" t="s">
        <v>75</v>
      </c>
      <c r="F79" s="12">
        <v>5797000</v>
      </c>
      <c r="G79" s="12">
        <v>5636417.3499999996</v>
      </c>
      <c r="H79" s="12">
        <f t="shared" si="21"/>
        <v>160582.65000000037</v>
      </c>
      <c r="I79" s="13"/>
      <c r="J79" s="12"/>
      <c r="K79" s="12"/>
      <c r="L79" s="12">
        <f t="shared" si="22"/>
        <v>0</v>
      </c>
      <c r="M79" s="12"/>
      <c r="N79" s="12"/>
      <c r="O79" s="12"/>
      <c r="P79" s="12">
        <f t="shared" si="23"/>
        <v>0</v>
      </c>
      <c r="Q79" s="13"/>
      <c r="R79" s="12">
        <f t="shared" si="24"/>
        <v>5797000</v>
      </c>
      <c r="S79" s="12">
        <f t="shared" si="24"/>
        <v>5636417.3499999996</v>
      </c>
      <c r="T79" s="14">
        <f t="shared" si="25"/>
        <v>160582.65000000037</v>
      </c>
      <c r="U79" s="17">
        <f t="shared" si="26"/>
        <v>0.9722990081076418</v>
      </c>
    </row>
    <row r="80" spans="2:21" ht="24.95" customHeight="1">
      <c r="B80" s="18"/>
      <c r="C80" s="10"/>
      <c r="D80" s="10"/>
      <c r="E80" s="22" t="s">
        <v>76</v>
      </c>
      <c r="F80" s="12">
        <v>10045677</v>
      </c>
      <c r="G80" s="12">
        <v>5688366.7999999998</v>
      </c>
      <c r="H80" s="12">
        <f t="shared" si="21"/>
        <v>4357310.2</v>
      </c>
      <c r="I80" s="13"/>
      <c r="J80" s="12"/>
      <c r="K80" s="12"/>
      <c r="L80" s="12">
        <f t="shared" si="22"/>
        <v>0</v>
      </c>
      <c r="M80" s="12"/>
      <c r="N80" s="12"/>
      <c r="O80" s="12"/>
      <c r="P80" s="12">
        <f t="shared" si="23"/>
        <v>0</v>
      </c>
      <c r="Q80" s="13"/>
      <c r="R80" s="12">
        <f t="shared" si="24"/>
        <v>10045677</v>
      </c>
      <c r="S80" s="12">
        <f t="shared" si="24"/>
        <v>5688366.7999999998</v>
      </c>
      <c r="T80" s="14">
        <f t="shared" si="25"/>
        <v>4357310.2</v>
      </c>
      <c r="U80" s="17">
        <f t="shared" si="26"/>
        <v>0.56625021887524352</v>
      </c>
    </row>
    <row r="81" spans="2:21" ht="27.75" customHeight="1">
      <c r="B81" s="18"/>
      <c r="C81" s="10"/>
      <c r="D81" s="10"/>
      <c r="E81" s="31" t="s">
        <v>51</v>
      </c>
      <c r="F81" s="32">
        <f>SUM(F55:F80)</f>
        <v>436505674</v>
      </c>
      <c r="G81" s="32">
        <f t="shared" ref="G81:S81" si="27">SUM(G55:G80)</f>
        <v>359168804.63</v>
      </c>
      <c r="H81" s="32">
        <f t="shared" si="27"/>
        <v>77336869.370000005</v>
      </c>
      <c r="I81" s="32">
        <f t="shared" si="27"/>
        <v>0</v>
      </c>
      <c r="J81" s="32">
        <f>SUM(J55:J80)</f>
        <v>31118092</v>
      </c>
      <c r="K81" s="32">
        <f>SUM(K55:K80)</f>
        <v>5296000</v>
      </c>
      <c r="L81" s="32">
        <f>SUM(L55:L80)</f>
        <v>25822092</v>
      </c>
      <c r="M81" s="32">
        <f t="shared" si="27"/>
        <v>0</v>
      </c>
      <c r="N81" s="32">
        <f>SUM(N55:N80)</f>
        <v>41620749</v>
      </c>
      <c r="O81" s="32">
        <f>SUM(O55:O80)</f>
        <v>22736847.18</v>
      </c>
      <c r="P81" s="32">
        <f>SUM(P55:P80)</f>
        <v>18883901.82</v>
      </c>
      <c r="Q81" s="32">
        <f t="shared" si="27"/>
        <v>0</v>
      </c>
      <c r="R81" s="32">
        <f t="shared" si="27"/>
        <v>509244515</v>
      </c>
      <c r="S81" s="32">
        <f t="shared" si="27"/>
        <v>387201651.81000006</v>
      </c>
      <c r="T81" s="34">
        <f>SUM(T55:T80)</f>
        <v>122042863.19</v>
      </c>
      <c r="U81" s="17">
        <f t="shared" si="26"/>
        <v>0.76034525734656178</v>
      </c>
    </row>
    <row r="82" spans="2:21" ht="24.95" customHeight="1">
      <c r="B82" s="18"/>
      <c r="C82" s="10"/>
      <c r="D82" s="10"/>
      <c r="E82" s="22"/>
      <c r="F82" s="12"/>
      <c r="G82" s="12"/>
      <c r="H82" s="12"/>
      <c r="I82" s="13"/>
      <c r="J82" s="12"/>
      <c r="K82" s="12"/>
      <c r="L82" s="12"/>
      <c r="M82" s="12"/>
      <c r="N82" s="12"/>
      <c r="O82" s="12"/>
      <c r="P82" s="12"/>
      <c r="Q82" s="13"/>
      <c r="R82" s="12"/>
      <c r="S82" s="12"/>
      <c r="T82" s="14"/>
      <c r="U82" s="17"/>
    </row>
    <row r="83" spans="2:21" ht="24.95" customHeight="1">
      <c r="B83" s="18"/>
      <c r="C83" s="24" t="s">
        <v>77</v>
      </c>
      <c r="D83" s="10"/>
      <c r="E83" s="22"/>
      <c r="F83" s="12">
        <f>SUM(F85:F103)</f>
        <v>320618124.69</v>
      </c>
      <c r="G83" s="12">
        <f t="shared" ref="G83:T83" si="28">SUM(G85:G103)</f>
        <v>280681611.62</v>
      </c>
      <c r="H83" s="12">
        <f t="shared" si="28"/>
        <v>39936513.070000008</v>
      </c>
      <c r="I83" s="12">
        <f t="shared" si="28"/>
        <v>0</v>
      </c>
      <c r="J83" s="12">
        <f>SUM(J85:J103)</f>
        <v>87105913</v>
      </c>
      <c r="K83" s="12">
        <f>SUM(K85:K103)</f>
        <v>87105913</v>
      </c>
      <c r="L83" s="12">
        <f>SUM(L85:L103)</f>
        <v>0</v>
      </c>
      <c r="M83" s="12">
        <f t="shared" si="28"/>
        <v>0</v>
      </c>
      <c r="N83" s="12">
        <f>SUM(N85:N103)</f>
        <v>9730925.0800000001</v>
      </c>
      <c r="O83" s="12">
        <f>SUM(O85:O103)</f>
        <v>28175924.429999996</v>
      </c>
      <c r="P83" s="12">
        <f>SUM(P85:P103)</f>
        <v>-18444999.349999998</v>
      </c>
      <c r="Q83" s="12">
        <f t="shared" si="28"/>
        <v>0</v>
      </c>
      <c r="R83" s="12">
        <f t="shared" si="28"/>
        <v>417454962.77000004</v>
      </c>
      <c r="S83" s="12">
        <f t="shared" si="28"/>
        <v>395963449.05000001</v>
      </c>
      <c r="T83" s="14">
        <f t="shared" si="28"/>
        <v>21491513.719999999</v>
      </c>
      <c r="U83" s="17">
        <f>+S83/R83</f>
        <v>0.9485177668570659</v>
      </c>
    </row>
    <row r="84" spans="2:21" ht="24.95" customHeight="1">
      <c r="B84" s="18"/>
      <c r="C84" s="20" t="s">
        <v>78</v>
      </c>
      <c r="D84" s="20"/>
      <c r="E84" s="10"/>
      <c r="F84" s="12"/>
      <c r="G84" s="12"/>
      <c r="H84" s="12">
        <f t="shared" ref="H84:H89" si="29">+F84-G84</f>
        <v>0</v>
      </c>
      <c r="I84" s="13"/>
      <c r="J84" s="12"/>
      <c r="K84" s="12"/>
      <c r="L84" s="12">
        <f t="shared" ref="L84:L89" si="30">+J84-K84</f>
        <v>0</v>
      </c>
      <c r="M84" s="12"/>
      <c r="N84" s="12"/>
      <c r="O84" s="12"/>
      <c r="P84" s="12">
        <f t="shared" ref="P84:P89" si="31">+N84-O84</f>
        <v>0</v>
      </c>
      <c r="Q84" s="13"/>
      <c r="R84" s="12"/>
      <c r="S84" s="12"/>
      <c r="T84" s="14"/>
      <c r="U84" s="17"/>
    </row>
    <row r="85" spans="2:21" ht="24.95" customHeight="1">
      <c r="B85" s="18"/>
      <c r="C85" s="20"/>
      <c r="D85" s="20"/>
      <c r="E85" s="10" t="s">
        <v>79</v>
      </c>
      <c r="F85" s="42">
        <v>55427000</v>
      </c>
      <c r="G85" s="12">
        <v>6576790.6699999999</v>
      </c>
      <c r="H85" s="12">
        <f t="shared" si="29"/>
        <v>48850209.329999998</v>
      </c>
      <c r="I85" s="13"/>
      <c r="J85" s="42"/>
      <c r="K85" s="12"/>
      <c r="L85" s="12">
        <f t="shared" si="30"/>
        <v>0</v>
      </c>
      <c r="M85" s="12"/>
      <c r="N85" s="42"/>
      <c r="O85" s="12">
        <v>22369003.379999999</v>
      </c>
      <c r="P85" s="12">
        <f t="shared" si="31"/>
        <v>-22369003.379999999</v>
      </c>
      <c r="Q85" s="13"/>
      <c r="R85" s="12">
        <f t="shared" ref="R85:S89" si="32">+F85+J85+N85</f>
        <v>55427000</v>
      </c>
      <c r="S85" s="12">
        <f t="shared" si="32"/>
        <v>28945794.049999997</v>
      </c>
      <c r="T85" s="14">
        <f>+R85-S85</f>
        <v>26481205.950000003</v>
      </c>
      <c r="U85" s="17">
        <f t="shared" si="26"/>
        <v>0.52223273945910831</v>
      </c>
    </row>
    <row r="86" spans="2:21" ht="27" customHeight="1">
      <c r="B86" s="18"/>
      <c r="C86" s="10"/>
      <c r="D86" s="10"/>
      <c r="E86" s="22" t="s">
        <v>80</v>
      </c>
      <c r="F86" s="12">
        <v>42367000</v>
      </c>
      <c r="G86" s="12">
        <v>42613023.200000003</v>
      </c>
      <c r="H86" s="12">
        <f t="shared" si="29"/>
        <v>-246023.20000000298</v>
      </c>
      <c r="I86" s="13"/>
      <c r="J86" s="12"/>
      <c r="K86" s="12"/>
      <c r="L86" s="12">
        <f t="shared" si="30"/>
        <v>0</v>
      </c>
      <c r="M86" s="12"/>
      <c r="N86" s="12">
        <v>421431.06</v>
      </c>
      <c r="O86" s="12">
        <v>421431.06</v>
      </c>
      <c r="P86" s="12">
        <f t="shared" si="31"/>
        <v>0</v>
      </c>
      <c r="Q86" s="13"/>
      <c r="R86" s="12">
        <f t="shared" si="32"/>
        <v>42788431.060000002</v>
      </c>
      <c r="S86" s="12">
        <f t="shared" si="32"/>
        <v>43034454.260000005</v>
      </c>
      <c r="T86" s="14">
        <f>+R86-S86</f>
        <v>-246023.20000000298</v>
      </c>
      <c r="U86" s="17">
        <f t="shared" si="26"/>
        <v>1.0057497597809795</v>
      </c>
    </row>
    <row r="87" spans="2:21" ht="27" customHeight="1">
      <c r="B87" s="18"/>
      <c r="C87" s="10"/>
      <c r="D87" s="10"/>
      <c r="E87" s="22" t="s">
        <v>81</v>
      </c>
      <c r="F87" s="12">
        <v>46737000</v>
      </c>
      <c r="G87" s="12">
        <v>22673997.940000001</v>
      </c>
      <c r="H87" s="12">
        <f t="shared" si="29"/>
        <v>24063002.059999999</v>
      </c>
      <c r="I87" s="13"/>
      <c r="J87" s="12"/>
      <c r="K87" s="12"/>
      <c r="L87" s="12">
        <f t="shared" si="30"/>
        <v>0</v>
      </c>
      <c r="M87" s="12"/>
      <c r="N87" s="12">
        <v>1891645.02</v>
      </c>
      <c r="O87" s="12">
        <v>1879440.07</v>
      </c>
      <c r="P87" s="12">
        <f t="shared" si="31"/>
        <v>12204.949999999953</v>
      </c>
      <c r="Q87" s="13"/>
      <c r="R87" s="12">
        <f t="shared" si="32"/>
        <v>48628645.020000003</v>
      </c>
      <c r="S87" s="12">
        <f t="shared" si="32"/>
        <v>24553438.010000002</v>
      </c>
      <c r="T87" s="14">
        <f>+R87-S87</f>
        <v>24075207.010000002</v>
      </c>
      <c r="U87" s="17">
        <f t="shared" si="26"/>
        <v>0.50491717381600199</v>
      </c>
    </row>
    <row r="88" spans="2:21" ht="27" customHeight="1">
      <c r="B88" s="18"/>
      <c r="C88" s="10"/>
      <c r="D88" s="10"/>
      <c r="E88" s="22" t="s">
        <v>82</v>
      </c>
      <c r="F88" s="12">
        <v>5377000</v>
      </c>
      <c r="G88" s="12">
        <v>5373823.4900000002</v>
      </c>
      <c r="H88" s="12">
        <f t="shared" si="29"/>
        <v>3176.5099999997765</v>
      </c>
      <c r="I88" s="13"/>
      <c r="J88" s="12"/>
      <c r="K88" s="12"/>
      <c r="L88" s="12">
        <f t="shared" si="30"/>
        <v>0</v>
      </c>
      <c r="M88" s="12"/>
      <c r="N88" s="12"/>
      <c r="O88" s="12"/>
      <c r="P88" s="12">
        <f t="shared" si="31"/>
        <v>0</v>
      </c>
      <c r="Q88" s="13"/>
      <c r="R88" s="12">
        <f t="shared" si="32"/>
        <v>5377000</v>
      </c>
      <c r="S88" s="12">
        <f t="shared" si="32"/>
        <v>5373823.4900000002</v>
      </c>
      <c r="T88" s="14">
        <f>+R88-S88</f>
        <v>3176.5099999997765</v>
      </c>
      <c r="U88" s="17">
        <f t="shared" si="26"/>
        <v>0.99940924121257213</v>
      </c>
    </row>
    <row r="89" spans="2:21" ht="27" customHeight="1">
      <c r="B89" s="18"/>
      <c r="C89" s="10"/>
      <c r="D89" s="10"/>
      <c r="E89" s="22" t="s">
        <v>83</v>
      </c>
      <c r="F89" s="12">
        <v>1776000</v>
      </c>
      <c r="G89" s="12">
        <v>2700772.67</v>
      </c>
      <c r="H89" s="12">
        <f t="shared" si="29"/>
        <v>-924772.66999999993</v>
      </c>
      <c r="I89" s="13"/>
      <c r="J89" s="12"/>
      <c r="K89" s="12"/>
      <c r="L89" s="12">
        <f t="shared" si="30"/>
        <v>0</v>
      </c>
      <c r="M89" s="12"/>
      <c r="N89" s="12"/>
      <c r="O89" s="12"/>
      <c r="P89" s="12">
        <f t="shared" si="31"/>
        <v>0</v>
      </c>
      <c r="Q89" s="13"/>
      <c r="R89" s="12">
        <f t="shared" si="32"/>
        <v>1776000</v>
      </c>
      <c r="S89" s="12">
        <f t="shared" si="32"/>
        <v>2700772.67</v>
      </c>
      <c r="T89" s="14">
        <f>+R89-S89</f>
        <v>-924772.66999999993</v>
      </c>
      <c r="U89" s="17">
        <f t="shared" si="26"/>
        <v>1.5207053322072073</v>
      </c>
    </row>
    <row r="90" spans="2:21" ht="24.95" customHeight="1">
      <c r="B90" s="18"/>
      <c r="C90" s="10"/>
      <c r="D90" s="10"/>
      <c r="E90" s="22"/>
      <c r="F90" s="12"/>
      <c r="G90" s="12"/>
      <c r="H90" s="12"/>
      <c r="I90" s="13"/>
      <c r="J90" s="12"/>
      <c r="K90" s="12"/>
      <c r="L90" s="12"/>
      <c r="M90" s="12"/>
      <c r="N90" s="12"/>
      <c r="O90" s="12"/>
      <c r="P90" s="12"/>
      <c r="Q90" s="13"/>
      <c r="R90" s="12"/>
      <c r="S90" s="12"/>
      <c r="T90" s="14"/>
      <c r="U90" s="17"/>
    </row>
    <row r="91" spans="2:21" ht="24.95" customHeight="1">
      <c r="B91" s="18"/>
      <c r="C91" s="20" t="s">
        <v>84</v>
      </c>
      <c r="D91" s="20"/>
      <c r="E91" s="10"/>
      <c r="F91" s="12"/>
      <c r="G91" s="12"/>
      <c r="H91" s="12"/>
      <c r="I91" s="13"/>
      <c r="J91" s="12"/>
      <c r="K91" s="12"/>
      <c r="L91" s="12"/>
      <c r="M91" s="12"/>
      <c r="N91" s="12"/>
      <c r="O91" s="12"/>
      <c r="P91" s="12"/>
      <c r="Q91" s="13"/>
      <c r="R91" s="12"/>
      <c r="S91" s="12"/>
      <c r="T91" s="14"/>
      <c r="U91" s="17"/>
    </row>
    <row r="92" spans="2:21" ht="24.95" customHeight="1">
      <c r="B92" s="18"/>
      <c r="C92" s="20"/>
      <c r="D92" s="20"/>
      <c r="E92" s="10" t="s">
        <v>85</v>
      </c>
      <c r="F92" s="12">
        <v>15541000</v>
      </c>
      <c r="G92" s="12">
        <v>50111689.969999999</v>
      </c>
      <c r="H92" s="12">
        <f t="shared" ref="H92:H98" si="33">+F92-G92</f>
        <v>-34570689.969999999</v>
      </c>
      <c r="I92" s="13"/>
      <c r="J92" s="12">
        <v>77000000</v>
      </c>
      <c r="K92" s="12">
        <v>77000000</v>
      </c>
      <c r="L92" s="12">
        <f t="shared" ref="L92:L98" si="34">+J92-K92</f>
        <v>0</v>
      </c>
      <c r="M92" s="12"/>
      <c r="N92" s="12">
        <v>6730849</v>
      </c>
      <c r="O92" s="12">
        <v>2959300.36</v>
      </c>
      <c r="P92" s="12">
        <f t="shared" ref="P92:P98" si="35">+N92-O92</f>
        <v>3771548.64</v>
      </c>
      <c r="Q92" s="13"/>
      <c r="R92" s="12">
        <f t="shared" ref="R92:S97" si="36">+F92+J92+N92</f>
        <v>99271849</v>
      </c>
      <c r="S92" s="12">
        <f t="shared" si="36"/>
        <v>130070990.33</v>
      </c>
      <c r="T92" s="14">
        <f t="shared" ref="T92:T98" si="37">+R92-S92</f>
        <v>-30799141.329999998</v>
      </c>
      <c r="U92" s="17">
        <f t="shared" si="26"/>
        <v>1.3102505054579974</v>
      </c>
    </row>
    <row r="93" spans="2:21" ht="28.5" customHeight="1">
      <c r="B93" s="18"/>
      <c r="C93" s="10"/>
      <c r="D93" s="10"/>
      <c r="E93" s="22" t="s">
        <v>86</v>
      </c>
      <c r="F93" s="12">
        <v>30147000</v>
      </c>
      <c r="G93" s="12">
        <v>28409179.140000001</v>
      </c>
      <c r="H93" s="12">
        <f t="shared" si="33"/>
        <v>1737820.8599999994</v>
      </c>
      <c r="I93" s="13"/>
      <c r="J93" s="12"/>
      <c r="K93" s="12"/>
      <c r="L93" s="12">
        <f t="shared" si="34"/>
        <v>0</v>
      </c>
      <c r="M93" s="12"/>
      <c r="N93" s="12"/>
      <c r="O93" s="12"/>
      <c r="P93" s="12">
        <f t="shared" si="35"/>
        <v>0</v>
      </c>
      <c r="Q93" s="13"/>
      <c r="R93" s="12">
        <f t="shared" si="36"/>
        <v>30147000</v>
      </c>
      <c r="S93" s="12">
        <f t="shared" si="36"/>
        <v>28409179.140000001</v>
      </c>
      <c r="T93" s="14">
        <f t="shared" si="37"/>
        <v>1737820.8599999994</v>
      </c>
      <c r="U93" s="17">
        <f t="shared" si="26"/>
        <v>0.94235509801970352</v>
      </c>
    </row>
    <row r="94" spans="2:21" ht="28.5" customHeight="1">
      <c r="B94" s="18"/>
      <c r="C94" s="10"/>
      <c r="D94" s="10"/>
      <c r="E94" s="22" t="s">
        <v>87</v>
      </c>
      <c r="F94" s="12">
        <v>13406000</v>
      </c>
      <c r="G94" s="12">
        <v>10819972.789999999</v>
      </c>
      <c r="H94" s="12">
        <f t="shared" si="33"/>
        <v>2586027.2100000009</v>
      </c>
      <c r="I94" s="13"/>
      <c r="J94" s="12"/>
      <c r="K94" s="12"/>
      <c r="L94" s="12">
        <f t="shared" si="34"/>
        <v>0</v>
      </c>
      <c r="M94" s="12"/>
      <c r="N94" s="12"/>
      <c r="O94" s="12"/>
      <c r="P94" s="12">
        <f t="shared" si="35"/>
        <v>0</v>
      </c>
      <c r="Q94" s="13"/>
      <c r="R94" s="12">
        <f t="shared" si="36"/>
        <v>13406000</v>
      </c>
      <c r="S94" s="12">
        <f t="shared" si="36"/>
        <v>10819972.789999999</v>
      </c>
      <c r="T94" s="14">
        <f t="shared" si="37"/>
        <v>2586027.2100000009</v>
      </c>
      <c r="U94" s="17">
        <f t="shared" si="26"/>
        <v>0.8070992682381023</v>
      </c>
    </row>
    <row r="95" spans="2:21" ht="28.5" customHeight="1">
      <c r="B95" s="18"/>
      <c r="C95" s="10"/>
      <c r="D95" s="10"/>
      <c r="E95" s="22" t="s">
        <v>88</v>
      </c>
      <c r="F95" s="12">
        <v>9539000</v>
      </c>
      <c r="G95" s="12">
        <v>6315385.4900000002</v>
      </c>
      <c r="H95" s="12">
        <f t="shared" si="33"/>
        <v>3223614.51</v>
      </c>
      <c r="I95" s="13"/>
      <c r="J95" s="12"/>
      <c r="K95" s="12"/>
      <c r="L95" s="12">
        <f t="shared" si="34"/>
        <v>0</v>
      </c>
      <c r="M95" s="12"/>
      <c r="N95" s="12"/>
      <c r="O95" s="12"/>
      <c r="P95" s="12">
        <f t="shared" si="35"/>
        <v>0</v>
      </c>
      <c r="Q95" s="13"/>
      <c r="R95" s="12">
        <f t="shared" si="36"/>
        <v>9539000</v>
      </c>
      <c r="S95" s="12">
        <f t="shared" si="36"/>
        <v>6315385.4900000002</v>
      </c>
      <c r="T95" s="14">
        <f t="shared" si="37"/>
        <v>3223614.51</v>
      </c>
      <c r="U95" s="17">
        <f t="shared" si="26"/>
        <v>0.66205949156096033</v>
      </c>
    </row>
    <row r="96" spans="2:21" ht="24.95" customHeight="1">
      <c r="B96" s="18"/>
      <c r="C96" s="10"/>
      <c r="D96" s="10"/>
      <c r="E96" s="22" t="s">
        <v>89</v>
      </c>
      <c r="F96" s="12">
        <v>4476000</v>
      </c>
      <c r="G96" s="12">
        <v>9616213.0199999996</v>
      </c>
      <c r="H96" s="12">
        <f t="shared" si="33"/>
        <v>-5140213.0199999996</v>
      </c>
      <c r="I96" s="13"/>
      <c r="J96" s="12"/>
      <c r="K96" s="12"/>
      <c r="L96" s="12">
        <f t="shared" si="34"/>
        <v>0</v>
      </c>
      <c r="M96" s="12"/>
      <c r="N96" s="12"/>
      <c r="O96" s="12"/>
      <c r="P96" s="12">
        <f t="shared" si="35"/>
        <v>0</v>
      </c>
      <c r="Q96" s="13"/>
      <c r="R96" s="12">
        <f t="shared" si="36"/>
        <v>4476000</v>
      </c>
      <c r="S96" s="12">
        <f t="shared" si="36"/>
        <v>9616213.0199999996</v>
      </c>
      <c r="T96" s="14">
        <f t="shared" si="37"/>
        <v>-5140213.0199999996</v>
      </c>
      <c r="U96" s="17">
        <f t="shared" si="26"/>
        <v>2.1483943297587129</v>
      </c>
    </row>
    <row r="97" spans="2:25" ht="24.95" customHeight="1">
      <c r="B97" s="18"/>
      <c r="C97" s="10"/>
      <c r="D97" s="10"/>
      <c r="E97" s="28" t="s">
        <v>90</v>
      </c>
      <c r="F97" s="12">
        <v>1328000</v>
      </c>
      <c r="G97" s="12">
        <v>1328000</v>
      </c>
      <c r="H97" s="12">
        <f t="shared" si="33"/>
        <v>0</v>
      </c>
      <c r="I97" s="13"/>
      <c r="J97" s="12"/>
      <c r="K97" s="12"/>
      <c r="L97" s="12">
        <f t="shared" si="34"/>
        <v>0</v>
      </c>
      <c r="M97" s="12"/>
      <c r="N97" s="12"/>
      <c r="O97" s="12"/>
      <c r="P97" s="12">
        <f t="shared" si="35"/>
        <v>0</v>
      </c>
      <c r="Q97" s="13"/>
      <c r="R97" s="12">
        <f t="shared" si="36"/>
        <v>1328000</v>
      </c>
      <c r="S97" s="12">
        <f t="shared" si="36"/>
        <v>1328000</v>
      </c>
      <c r="T97" s="14">
        <f t="shared" si="37"/>
        <v>0</v>
      </c>
      <c r="U97" s="17">
        <f t="shared" si="26"/>
        <v>1</v>
      </c>
    </row>
    <row r="98" spans="2:25" ht="28.5" customHeight="1">
      <c r="B98" s="18"/>
      <c r="C98" s="10"/>
      <c r="D98" s="10"/>
      <c r="E98" s="43" t="s">
        <v>91</v>
      </c>
      <c r="F98" s="12">
        <v>1870000</v>
      </c>
      <c r="G98" s="12">
        <v>1878560.67</v>
      </c>
      <c r="H98" s="12">
        <f t="shared" si="33"/>
        <v>-8560.6699999999255</v>
      </c>
      <c r="I98" s="13"/>
      <c r="J98" s="12"/>
      <c r="K98" s="12"/>
      <c r="L98" s="12">
        <f t="shared" si="34"/>
        <v>0</v>
      </c>
      <c r="M98" s="12"/>
      <c r="N98" s="12">
        <v>687000</v>
      </c>
      <c r="O98" s="12">
        <v>546749.56000000006</v>
      </c>
      <c r="P98" s="12">
        <f t="shared" si="35"/>
        <v>140250.43999999994</v>
      </c>
      <c r="Q98" s="13"/>
      <c r="R98" s="12">
        <f>+F98+J98+N98</f>
        <v>2557000</v>
      </c>
      <c r="S98" s="12">
        <f>+G98+K98+O98</f>
        <v>2425310.23</v>
      </c>
      <c r="T98" s="14">
        <f t="shared" si="37"/>
        <v>131689.77000000002</v>
      </c>
      <c r="U98" s="17">
        <f t="shared" si="26"/>
        <v>0.94849833007430584</v>
      </c>
    </row>
    <row r="99" spans="2:25" ht="24.95" customHeight="1">
      <c r="B99" s="18"/>
      <c r="C99" s="10"/>
      <c r="D99" s="10"/>
      <c r="E99" s="43"/>
      <c r="F99" s="12"/>
      <c r="G99" s="12"/>
      <c r="H99" s="12"/>
      <c r="I99" s="13"/>
      <c r="J99" s="12"/>
      <c r="K99" s="12"/>
      <c r="L99" s="12"/>
      <c r="M99" s="12"/>
      <c r="N99" s="12"/>
      <c r="O99" s="12"/>
      <c r="P99" s="12"/>
      <c r="Q99" s="13"/>
      <c r="R99" s="12"/>
      <c r="S99" s="12"/>
      <c r="T99" s="14"/>
      <c r="U99" s="17"/>
    </row>
    <row r="100" spans="2:25" ht="24.95" customHeight="1">
      <c r="B100" s="18"/>
      <c r="C100" s="20" t="s">
        <v>92</v>
      </c>
      <c r="D100" s="20"/>
      <c r="E100" s="10"/>
      <c r="F100" s="12"/>
      <c r="G100" s="12"/>
      <c r="H100" s="12"/>
      <c r="I100" s="13"/>
      <c r="J100" s="12"/>
      <c r="K100" s="12"/>
      <c r="L100" s="12"/>
      <c r="M100" s="12"/>
      <c r="N100" s="12"/>
      <c r="O100" s="12"/>
      <c r="P100" s="12"/>
      <c r="Q100" s="13"/>
      <c r="R100" s="12"/>
      <c r="S100" s="12"/>
      <c r="T100" s="14"/>
      <c r="U100" s="17"/>
    </row>
    <row r="101" spans="2:25" ht="24.95" customHeight="1">
      <c r="B101" s="18"/>
      <c r="C101" s="20"/>
      <c r="D101" s="20"/>
      <c r="E101" s="10" t="s">
        <v>93</v>
      </c>
      <c r="F101" s="12">
        <v>72270000</v>
      </c>
      <c r="G101" s="12">
        <v>70240194.140000001</v>
      </c>
      <c r="H101" s="12">
        <f>+F101-G101</f>
        <v>2029805.8599999994</v>
      </c>
      <c r="I101" s="13"/>
      <c r="J101" s="12">
        <v>10105913</v>
      </c>
      <c r="K101" s="12">
        <v>10105913</v>
      </c>
      <c r="L101" s="12">
        <f>+J101-K101</f>
        <v>0</v>
      </c>
      <c r="M101" s="12"/>
      <c r="N101" s="12"/>
      <c r="O101" s="12"/>
      <c r="P101" s="12">
        <f>+N101-O101</f>
        <v>0</v>
      </c>
      <c r="Q101" s="13"/>
      <c r="R101" s="12">
        <f t="shared" ref="R101:S103" si="38">+F101+J101+N101</f>
        <v>82375913</v>
      </c>
      <c r="S101" s="12">
        <f t="shared" si="38"/>
        <v>80346107.140000001</v>
      </c>
      <c r="T101" s="14">
        <f>+R101-S101</f>
        <v>2029805.8599999994</v>
      </c>
      <c r="U101" s="17">
        <f t="shared" si="26"/>
        <v>0.97535923079844955</v>
      </c>
    </row>
    <row r="102" spans="2:25" ht="29.25" customHeight="1">
      <c r="B102" s="18"/>
      <c r="C102" s="10"/>
      <c r="D102" s="10"/>
      <c r="E102" s="22" t="s">
        <v>94</v>
      </c>
      <c r="F102" s="12">
        <v>18239000</v>
      </c>
      <c r="G102" s="12">
        <v>20994174.190000001</v>
      </c>
      <c r="H102" s="12">
        <f>+F102-G102</f>
        <v>-2755174.1900000013</v>
      </c>
      <c r="I102" s="13"/>
      <c r="J102" s="12"/>
      <c r="K102" s="12"/>
      <c r="L102" s="12">
        <f>+J102-K102</f>
        <v>0</v>
      </c>
      <c r="M102" s="12"/>
      <c r="N102" s="12"/>
      <c r="O102" s="12"/>
      <c r="P102" s="12">
        <f>+N102-O102</f>
        <v>0</v>
      </c>
      <c r="Q102" s="13"/>
      <c r="R102" s="12">
        <f t="shared" si="38"/>
        <v>18239000</v>
      </c>
      <c r="S102" s="12">
        <f t="shared" si="38"/>
        <v>20994174.190000001</v>
      </c>
      <c r="T102" s="14">
        <f>+R102-S102</f>
        <v>-2755174.1900000013</v>
      </c>
      <c r="U102" s="17">
        <f t="shared" si="26"/>
        <v>1.1510594983277593</v>
      </c>
    </row>
    <row r="103" spans="2:25" ht="29.25" customHeight="1">
      <c r="B103" s="18"/>
      <c r="C103" s="10"/>
      <c r="D103" s="10"/>
      <c r="E103" s="22" t="s">
        <v>95</v>
      </c>
      <c r="F103" s="12">
        <v>2118124.69</v>
      </c>
      <c r="G103" s="12">
        <v>1029834.24</v>
      </c>
      <c r="H103" s="12">
        <f>+F103-G103</f>
        <v>1088290.45</v>
      </c>
      <c r="I103" s="13"/>
      <c r="J103" s="12"/>
      <c r="K103" s="12"/>
      <c r="L103" s="12">
        <f>+J103-K103</f>
        <v>0</v>
      </c>
      <c r="M103" s="12"/>
      <c r="N103" s="12"/>
      <c r="O103" s="12"/>
      <c r="P103" s="12">
        <f>+N103-O103</f>
        <v>0</v>
      </c>
      <c r="Q103" s="13"/>
      <c r="R103" s="12">
        <f t="shared" si="38"/>
        <v>2118124.69</v>
      </c>
      <c r="S103" s="12">
        <f t="shared" si="38"/>
        <v>1029834.24</v>
      </c>
      <c r="T103" s="14">
        <f>+R103-S103</f>
        <v>1088290.45</v>
      </c>
      <c r="U103" s="17">
        <f t="shared" si="26"/>
        <v>0.48620095165407851</v>
      </c>
    </row>
    <row r="104" spans="2:25" ht="27.75" customHeight="1">
      <c r="B104" s="18"/>
      <c r="C104" s="10"/>
      <c r="D104" s="10"/>
      <c r="E104" s="31" t="s">
        <v>51</v>
      </c>
      <c r="F104" s="32">
        <f>SUM(F85:F103)</f>
        <v>320618124.69</v>
      </c>
      <c r="G104" s="32">
        <f t="shared" ref="G104:S104" si="39">SUM(G85:G103)</f>
        <v>280681611.62</v>
      </c>
      <c r="H104" s="32">
        <f t="shared" si="39"/>
        <v>39936513.070000008</v>
      </c>
      <c r="I104" s="32">
        <f t="shared" si="39"/>
        <v>0</v>
      </c>
      <c r="J104" s="32">
        <f>SUM(J85:J103)</f>
        <v>87105913</v>
      </c>
      <c r="K104" s="32">
        <f>SUM(K85:K103)</f>
        <v>87105913</v>
      </c>
      <c r="L104" s="32">
        <f>SUM(L85:L103)</f>
        <v>0</v>
      </c>
      <c r="M104" s="32">
        <f t="shared" si="39"/>
        <v>0</v>
      </c>
      <c r="N104" s="32">
        <f>SUM(N85:N103)</f>
        <v>9730925.0800000001</v>
      </c>
      <c r="O104" s="32">
        <f>SUM(O85:O103)</f>
        <v>28175924.429999996</v>
      </c>
      <c r="P104" s="32">
        <f>SUM(P85:P103)</f>
        <v>-18444999.349999998</v>
      </c>
      <c r="Q104" s="32">
        <f t="shared" si="39"/>
        <v>0</v>
      </c>
      <c r="R104" s="32">
        <f t="shared" si="39"/>
        <v>417454962.77000004</v>
      </c>
      <c r="S104" s="32">
        <f t="shared" si="39"/>
        <v>395963449.05000001</v>
      </c>
      <c r="T104" s="34">
        <f>SUM(T85:T103)</f>
        <v>21491513.719999999</v>
      </c>
      <c r="U104" s="17">
        <f t="shared" si="26"/>
        <v>0.9485177668570659</v>
      </c>
    </row>
    <row r="105" spans="2:25" ht="24.95" customHeight="1">
      <c r="B105" s="18"/>
      <c r="C105" s="10"/>
      <c r="D105" s="10"/>
      <c r="E105" s="22"/>
      <c r="F105" s="12"/>
      <c r="G105" s="12"/>
      <c r="H105" s="12"/>
      <c r="I105" s="13"/>
      <c r="J105" s="12"/>
      <c r="K105" s="12"/>
      <c r="L105" s="12"/>
      <c r="M105" s="12"/>
      <c r="N105" s="12"/>
      <c r="O105" s="12"/>
      <c r="P105" s="12"/>
      <c r="Q105" s="13"/>
      <c r="R105" s="12"/>
      <c r="S105" s="12"/>
      <c r="T105" s="14"/>
      <c r="U105" s="17"/>
      <c r="Y105" s="2" t="s">
        <v>96</v>
      </c>
    </row>
    <row r="106" spans="2:25" ht="24.95" customHeight="1">
      <c r="B106" s="18"/>
      <c r="C106" s="24" t="s">
        <v>97</v>
      </c>
      <c r="D106" s="10"/>
      <c r="E106" s="22"/>
      <c r="F106" s="12">
        <f>SUM(F108:F136)</f>
        <v>468720799</v>
      </c>
      <c r="G106" s="12">
        <f>SUM(G108:G136)</f>
        <v>330335786.69</v>
      </c>
      <c r="H106" s="12">
        <f t="shared" ref="H106:T106" si="40">SUM(H108:H136)</f>
        <v>138385012.31</v>
      </c>
      <c r="I106" s="12">
        <f t="shared" si="40"/>
        <v>0</v>
      </c>
      <c r="J106" s="12">
        <f>SUM(J108:J136)</f>
        <v>6880911.7999999998</v>
      </c>
      <c r="K106" s="12">
        <f>SUM(K108:K136)</f>
        <v>6343738.5599999996</v>
      </c>
      <c r="L106" s="12">
        <f>SUM(L108:L136)</f>
        <v>537173.24</v>
      </c>
      <c r="M106" s="12">
        <f t="shared" si="40"/>
        <v>0</v>
      </c>
      <c r="N106" s="12">
        <f>SUM(N108:N136)</f>
        <v>5219971</v>
      </c>
      <c r="O106" s="12">
        <f>SUM(O108:O136)</f>
        <v>3723668.26</v>
      </c>
      <c r="P106" s="12">
        <f>SUM(P108:P136)</f>
        <v>1496302.74</v>
      </c>
      <c r="Q106" s="12">
        <f t="shared" si="40"/>
        <v>0</v>
      </c>
      <c r="R106" s="12">
        <f t="shared" si="40"/>
        <v>480821681.80000001</v>
      </c>
      <c r="S106" s="12">
        <f t="shared" si="40"/>
        <v>340403193.50999999</v>
      </c>
      <c r="T106" s="14">
        <f t="shared" si="40"/>
        <v>140418488.28999999</v>
      </c>
      <c r="U106" s="17">
        <f>+S106/R106</f>
        <v>0.70796140522546624</v>
      </c>
    </row>
    <row r="107" spans="2:25" ht="24.95" customHeight="1">
      <c r="B107" s="18"/>
      <c r="C107" s="20" t="s">
        <v>98</v>
      </c>
      <c r="D107" s="20"/>
      <c r="E107" s="10"/>
      <c r="F107" s="12"/>
      <c r="G107" s="12"/>
      <c r="H107" s="12">
        <f t="shared" ref="H107:H115" si="41">+F107-G107</f>
        <v>0</v>
      </c>
      <c r="I107" s="13"/>
      <c r="J107" s="12"/>
      <c r="K107" s="12"/>
      <c r="L107" s="12">
        <f t="shared" ref="L107:L115" si="42">+J107-K107</f>
        <v>0</v>
      </c>
      <c r="M107" s="12"/>
      <c r="N107" s="12"/>
      <c r="O107" s="12"/>
      <c r="P107" s="12">
        <f t="shared" ref="P107:P115" si="43">+N107-O107</f>
        <v>0</v>
      </c>
      <c r="Q107" s="13"/>
      <c r="R107" s="12"/>
      <c r="S107" s="12"/>
      <c r="T107" s="14"/>
      <c r="U107" s="17"/>
    </row>
    <row r="108" spans="2:25" ht="24.95" customHeight="1">
      <c r="B108" s="18"/>
      <c r="C108" s="20"/>
      <c r="D108" s="20"/>
      <c r="E108" s="10" t="s">
        <v>99</v>
      </c>
      <c r="F108" s="12">
        <v>34685000</v>
      </c>
      <c r="G108" s="12">
        <v>28825687.460000001</v>
      </c>
      <c r="H108" s="12">
        <f t="shared" si="41"/>
        <v>5859312.5399999991</v>
      </c>
      <c r="I108" s="13"/>
      <c r="J108" s="12"/>
      <c r="K108" s="12"/>
      <c r="L108" s="12">
        <f t="shared" si="42"/>
        <v>0</v>
      </c>
      <c r="M108" s="12"/>
      <c r="N108" s="12"/>
      <c r="O108" s="12">
        <v>180807</v>
      </c>
      <c r="P108" s="12">
        <f t="shared" si="43"/>
        <v>-180807</v>
      </c>
      <c r="Q108" s="13"/>
      <c r="R108" s="12">
        <f t="shared" ref="R108:S115" si="44">+F108+J108+N108</f>
        <v>34685000</v>
      </c>
      <c r="S108" s="12">
        <f t="shared" si="44"/>
        <v>29006494.460000001</v>
      </c>
      <c r="T108" s="14">
        <f t="shared" ref="T108:T115" si="45">+R108-S108</f>
        <v>5678505.5399999991</v>
      </c>
      <c r="U108" s="17">
        <f t="shared" si="26"/>
        <v>0.83628353639901976</v>
      </c>
    </row>
    <row r="109" spans="2:25" ht="27" customHeight="1">
      <c r="B109" s="18"/>
      <c r="C109" s="10"/>
      <c r="D109" s="10"/>
      <c r="E109" s="22" t="s">
        <v>100</v>
      </c>
      <c r="F109" s="12">
        <v>23839000</v>
      </c>
      <c r="G109" s="12">
        <v>23540652.199999999</v>
      </c>
      <c r="H109" s="12">
        <f t="shared" si="41"/>
        <v>298347.80000000075</v>
      </c>
      <c r="I109" s="13"/>
      <c r="J109" s="12">
        <v>5804911.7999999998</v>
      </c>
      <c r="K109" s="12">
        <v>5804911.7999999998</v>
      </c>
      <c r="L109" s="12">
        <f t="shared" si="42"/>
        <v>0</v>
      </c>
      <c r="M109" s="12"/>
      <c r="N109" s="12"/>
      <c r="O109" s="12"/>
      <c r="P109" s="12">
        <f t="shared" si="43"/>
        <v>0</v>
      </c>
      <c r="Q109" s="13"/>
      <c r="R109" s="12">
        <f t="shared" si="44"/>
        <v>29643911.800000001</v>
      </c>
      <c r="S109" s="12">
        <f t="shared" si="44"/>
        <v>29345564</v>
      </c>
      <c r="T109" s="14">
        <f t="shared" si="45"/>
        <v>298347.80000000075</v>
      </c>
      <c r="U109" s="17">
        <f t="shared" si="26"/>
        <v>0.98993561301852206</v>
      </c>
    </row>
    <row r="110" spans="2:25" ht="27" customHeight="1">
      <c r="B110" s="18"/>
      <c r="C110" s="10"/>
      <c r="D110" s="10"/>
      <c r="E110" s="22" t="s">
        <v>101</v>
      </c>
      <c r="F110" s="12">
        <v>2617000</v>
      </c>
      <c r="G110" s="12">
        <v>3244788.62</v>
      </c>
      <c r="H110" s="12">
        <f t="shared" si="41"/>
        <v>-627788.62000000011</v>
      </c>
      <c r="I110" s="13"/>
      <c r="J110" s="12"/>
      <c r="K110" s="12"/>
      <c r="L110" s="12">
        <f t="shared" si="42"/>
        <v>0</v>
      </c>
      <c r="M110" s="12"/>
      <c r="N110" s="12"/>
      <c r="O110" s="12"/>
      <c r="P110" s="12">
        <f t="shared" si="43"/>
        <v>0</v>
      </c>
      <c r="Q110" s="13"/>
      <c r="R110" s="12">
        <f t="shared" si="44"/>
        <v>2617000</v>
      </c>
      <c r="S110" s="12">
        <f t="shared" si="44"/>
        <v>3244788.62</v>
      </c>
      <c r="T110" s="14">
        <f t="shared" si="45"/>
        <v>-627788.62000000011</v>
      </c>
      <c r="U110" s="17">
        <f t="shared" si="26"/>
        <v>1.2398886587695834</v>
      </c>
    </row>
    <row r="111" spans="2:25" ht="29.25" customHeight="1">
      <c r="B111" s="18"/>
      <c r="C111" s="10"/>
      <c r="D111" s="10"/>
      <c r="E111" s="22" t="s">
        <v>102</v>
      </c>
      <c r="F111" s="12">
        <v>1316000</v>
      </c>
      <c r="G111" s="12">
        <v>1584174.5</v>
      </c>
      <c r="H111" s="12">
        <f t="shared" si="41"/>
        <v>-268174.5</v>
      </c>
      <c r="I111" s="13"/>
      <c r="J111" s="12"/>
      <c r="K111" s="12"/>
      <c r="L111" s="12">
        <f t="shared" si="42"/>
        <v>0</v>
      </c>
      <c r="M111" s="12"/>
      <c r="N111" s="12"/>
      <c r="O111" s="12"/>
      <c r="P111" s="12">
        <f t="shared" si="43"/>
        <v>0</v>
      </c>
      <c r="Q111" s="13"/>
      <c r="R111" s="12">
        <f t="shared" si="44"/>
        <v>1316000</v>
      </c>
      <c r="S111" s="12">
        <f t="shared" si="44"/>
        <v>1584174.5</v>
      </c>
      <c r="T111" s="14">
        <f t="shared" si="45"/>
        <v>-268174.5</v>
      </c>
      <c r="U111" s="17">
        <f t="shared" si="26"/>
        <v>1.2037800151975684</v>
      </c>
    </row>
    <row r="112" spans="2:25" ht="24.95" customHeight="1">
      <c r="B112" s="18"/>
      <c r="C112" s="10"/>
      <c r="D112" s="10"/>
      <c r="E112" s="28" t="s">
        <v>103</v>
      </c>
      <c r="F112" s="12">
        <v>894000</v>
      </c>
      <c r="G112" s="12">
        <v>979786.04</v>
      </c>
      <c r="H112" s="12">
        <f t="shared" si="41"/>
        <v>-85786.040000000037</v>
      </c>
      <c r="I112" s="13"/>
      <c r="J112" s="12"/>
      <c r="K112" s="12"/>
      <c r="L112" s="12">
        <f t="shared" si="42"/>
        <v>0</v>
      </c>
      <c r="M112" s="12"/>
      <c r="N112" s="12"/>
      <c r="O112" s="12"/>
      <c r="P112" s="12">
        <f t="shared" si="43"/>
        <v>0</v>
      </c>
      <c r="Q112" s="13"/>
      <c r="R112" s="12">
        <f t="shared" si="44"/>
        <v>894000</v>
      </c>
      <c r="S112" s="12">
        <f t="shared" si="44"/>
        <v>979786.04</v>
      </c>
      <c r="T112" s="14">
        <f t="shared" si="45"/>
        <v>-85786.040000000037</v>
      </c>
      <c r="U112" s="17">
        <f t="shared" si="26"/>
        <v>1.0959575391498881</v>
      </c>
    </row>
    <row r="113" spans="2:22" ht="24.95" customHeight="1">
      <c r="B113" s="18"/>
      <c r="C113" s="10"/>
      <c r="D113" s="10"/>
      <c r="E113" s="22" t="s">
        <v>104</v>
      </c>
      <c r="F113" s="12">
        <v>2814000</v>
      </c>
      <c r="G113" s="12">
        <v>2105138.08</v>
      </c>
      <c r="H113" s="12">
        <f t="shared" si="41"/>
        <v>708861.91999999993</v>
      </c>
      <c r="I113" s="13"/>
      <c r="J113" s="12"/>
      <c r="K113" s="12"/>
      <c r="L113" s="12">
        <f t="shared" si="42"/>
        <v>0</v>
      </c>
      <c r="M113" s="12"/>
      <c r="N113" s="12"/>
      <c r="O113" s="12"/>
      <c r="P113" s="12">
        <f t="shared" si="43"/>
        <v>0</v>
      </c>
      <c r="Q113" s="13"/>
      <c r="R113" s="12">
        <f t="shared" si="44"/>
        <v>2814000</v>
      </c>
      <c r="S113" s="12">
        <f t="shared" si="44"/>
        <v>2105138.08</v>
      </c>
      <c r="T113" s="14">
        <f t="shared" si="45"/>
        <v>708861.91999999993</v>
      </c>
      <c r="U113" s="17">
        <f t="shared" si="26"/>
        <v>0.74809455579246631</v>
      </c>
    </row>
    <row r="114" spans="2:22" ht="29.25" customHeight="1">
      <c r="B114" s="18"/>
      <c r="C114" s="10"/>
      <c r="D114" s="10"/>
      <c r="E114" s="22" t="s">
        <v>105</v>
      </c>
      <c r="F114" s="12">
        <v>19922111</v>
      </c>
      <c r="G114" s="12">
        <v>9214801.5199999996</v>
      </c>
      <c r="H114" s="12">
        <f t="shared" si="41"/>
        <v>10707309.48</v>
      </c>
      <c r="I114" s="13"/>
      <c r="J114" s="12"/>
      <c r="K114" s="12"/>
      <c r="L114" s="12">
        <f t="shared" si="42"/>
        <v>0</v>
      </c>
      <c r="M114" s="12"/>
      <c r="N114" s="12"/>
      <c r="O114" s="12"/>
      <c r="P114" s="12">
        <f t="shared" si="43"/>
        <v>0</v>
      </c>
      <c r="Q114" s="13"/>
      <c r="R114" s="12">
        <f t="shared" si="44"/>
        <v>19922111</v>
      </c>
      <c r="S114" s="12">
        <f t="shared" si="44"/>
        <v>9214801.5199999996</v>
      </c>
      <c r="T114" s="14">
        <f t="shared" si="45"/>
        <v>10707309.48</v>
      </c>
      <c r="U114" s="17">
        <f t="shared" si="26"/>
        <v>0.46254142043481233</v>
      </c>
    </row>
    <row r="115" spans="2:22" ht="29.25" customHeight="1">
      <c r="B115" s="18"/>
      <c r="C115" s="10"/>
      <c r="D115" s="10"/>
      <c r="E115" s="21" t="s">
        <v>106</v>
      </c>
      <c r="F115" s="12">
        <v>37622000</v>
      </c>
      <c r="G115" s="12">
        <v>14866508.380000001</v>
      </c>
      <c r="H115" s="12">
        <f t="shared" si="41"/>
        <v>22755491.619999997</v>
      </c>
      <c r="I115" s="13"/>
      <c r="J115" s="12"/>
      <c r="K115" s="12"/>
      <c r="L115" s="12">
        <f t="shared" si="42"/>
        <v>0</v>
      </c>
      <c r="M115" s="12"/>
      <c r="N115" s="12"/>
      <c r="O115" s="12"/>
      <c r="P115" s="12">
        <f t="shared" si="43"/>
        <v>0</v>
      </c>
      <c r="Q115" s="13"/>
      <c r="R115" s="12">
        <f t="shared" si="44"/>
        <v>37622000</v>
      </c>
      <c r="S115" s="12">
        <f t="shared" si="44"/>
        <v>14866508.380000001</v>
      </c>
      <c r="T115" s="14">
        <f t="shared" si="45"/>
        <v>22755491.619999997</v>
      </c>
      <c r="U115" s="17">
        <f t="shared" si="26"/>
        <v>0.3951546536600925</v>
      </c>
    </row>
    <row r="116" spans="2:22" ht="24.95" customHeight="1">
      <c r="B116" s="18"/>
      <c r="C116" s="10"/>
      <c r="D116" s="10"/>
      <c r="E116" s="28"/>
      <c r="F116" s="12"/>
      <c r="G116" s="12"/>
      <c r="H116" s="12"/>
      <c r="I116" s="13"/>
      <c r="J116" s="12"/>
      <c r="K116" s="12"/>
      <c r="L116" s="12"/>
      <c r="M116" s="12"/>
      <c r="N116" s="12"/>
      <c r="O116" s="12"/>
      <c r="P116" s="12"/>
      <c r="Q116" s="13"/>
      <c r="R116" s="12"/>
      <c r="S116" s="12"/>
      <c r="T116" s="14"/>
      <c r="U116" s="17"/>
    </row>
    <row r="117" spans="2:22" ht="24.95" customHeight="1">
      <c r="B117" s="18"/>
      <c r="C117" s="20" t="s">
        <v>107</v>
      </c>
      <c r="D117" s="20"/>
      <c r="E117" s="10"/>
      <c r="F117" s="12"/>
      <c r="G117" s="12"/>
      <c r="H117" s="12"/>
      <c r="I117" s="13"/>
      <c r="J117" s="12"/>
      <c r="K117" s="12"/>
      <c r="L117" s="12"/>
      <c r="M117" s="12"/>
      <c r="N117" s="12"/>
      <c r="O117" s="12"/>
      <c r="P117" s="12"/>
      <c r="Q117" s="13"/>
      <c r="R117" s="12"/>
      <c r="S117" s="12"/>
      <c r="T117" s="14"/>
      <c r="U117" s="17"/>
    </row>
    <row r="118" spans="2:22" ht="24.95" customHeight="1">
      <c r="B118" s="18"/>
      <c r="C118" s="20"/>
      <c r="D118" s="20"/>
      <c r="E118" s="10" t="s">
        <v>108</v>
      </c>
      <c r="F118" s="12">
        <v>67272000</v>
      </c>
      <c r="G118" s="12">
        <v>44649355.170000002</v>
      </c>
      <c r="H118" s="12">
        <f>+F118-G118</f>
        <v>22622644.829999998</v>
      </c>
      <c r="I118" s="13"/>
      <c r="J118" s="12"/>
      <c r="K118" s="12"/>
      <c r="L118" s="12">
        <f>+J118-K118</f>
        <v>0</v>
      </c>
      <c r="M118" s="12"/>
      <c r="N118" s="12">
        <v>0</v>
      </c>
      <c r="O118" s="12">
        <v>0</v>
      </c>
      <c r="P118" s="12">
        <f>+N118-O118</f>
        <v>0</v>
      </c>
      <c r="Q118" s="13"/>
      <c r="R118" s="12">
        <f t="shared" ref="R118:S121" si="46">+F118+J118+N118</f>
        <v>67272000</v>
      </c>
      <c r="S118" s="12">
        <f t="shared" si="46"/>
        <v>44649355.170000002</v>
      </c>
      <c r="T118" s="14">
        <f>+R118-S118</f>
        <v>22622644.829999998</v>
      </c>
      <c r="U118" s="17">
        <f t="shared" si="26"/>
        <v>0.6637138061897967</v>
      </c>
    </row>
    <row r="119" spans="2:22" ht="28.5" customHeight="1">
      <c r="B119" s="18"/>
      <c r="C119" s="10"/>
      <c r="D119" s="10"/>
      <c r="E119" s="21" t="s">
        <v>109</v>
      </c>
      <c r="F119" s="12">
        <v>23185000</v>
      </c>
      <c r="G119" s="12">
        <v>27054924.199999999</v>
      </c>
      <c r="H119" s="12">
        <f>+F119-G119</f>
        <v>-3869924.1999999993</v>
      </c>
      <c r="I119" s="13"/>
      <c r="J119" s="12"/>
      <c r="K119" s="12"/>
      <c r="L119" s="12">
        <f>+J119-K119</f>
        <v>0</v>
      </c>
      <c r="M119" s="12"/>
      <c r="N119" s="12">
        <v>1238693</v>
      </c>
      <c r="O119" s="12">
        <v>382527.2</v>
      </c>
      <c r="P119" s="12">
        <f>+N119-O119</f>
        <v>856165.8</v>
      </c>
      <c r="Q119" s="13"/>
      <c r="R119" s="12">
        <f t="shared" si="46"/>
        <v>24423693</v>
      </c>
      <c r="S119" s="12">
        <f t="shared" si="46"/>
        <v>27437451.399999999</v>
      </c>
      <c r="T119" s="14">
        <f>+R119-S119</f>
        <v>-3013758.3999999985</v>
      </c>
      <c r="U119" s="17">
        <f t="shared" si="26"/>
        <v>1.1233948690724207</v>
      </c>
    </row>
    <row r="120" spans="2:22" ht="28.5" customHeight="1">
      <c r="B120" s="18"/>
      <c r="C120" s="10"/>
      <c r="D120" s="10"/>
      <c r="E120" s="21" t="s">
        <v>110</v>
      </c>
      <c r="F120" s="12">
        <v>9557996</v>
      </c>
      <c r="G120" s="12">
        <v>8479035.3800000008</v>
      </c>
      <c r="H120" s="12">
        <f>+F120-G120</f>
        <v>1078960.6199999992</v>
      </c>
      <c r="I120" s="13"/>
      <c r="J120" s="12"/>
      <c r="K120" s="12"/>
      <c r="L120" s="12">
        <f>+J120-K120</f>
        <v>0</v>
      </c>
      <c r="M120" s="12"/>
      <c r="N120" s="12">
        <v>0</v>
      </c>
      <c r="O120" s="12">
        <v>0</v>
      </c>
      <c r="P120" s="12">
        <f>+N120-O120</f>
        <v>0</v>
      </c>
      <c r="Q120" s="13"/>
      <c r="R120" s="12">
        <f t="shared" si="46"/>
        <v>9557996</v>
      </c>
      <c r="S120" s="12">
        <f t="shared" si="46"/>
        <v>8479035.3800000008</v>
      </c>
      <c r="T120" s="14">
        <f>+R120-S120</f>
        <v>1078960.6199999992</v>
      </c>
      <c r="U120" s="17">
        <f t="shared" si="26"/>
        <v>0.88711434698235914</v>
      </c>
    </row>
    <row r="121" spans="2:22" ht="28.5" customHeight="1">
      <c r="B121" s="18"/>
      <c r="C121" s="10"/>
      <c r="D121" s="10"/>
      <c r="E121" s="22" t="s">
        <v>111</v>
      </c>
      <c r="F121" s="12">
        <v>7605000</v>
      </c>
      <c r="G121" s="12">
        <v>7307017.5599999996</v>
      </c>
      <c r="H121" s="12">
        <f>+F121-G121</f>
        <v>297982.44000000041</v>
      </c>
      <c r="I121" s="13"/>
      <c r="J121" s="12"/>
      <c r="K121" s="12"/>
      <c r="L121" s="12">
        <f>+J121-K121</f>
        <v>0</v>
      </c>
      <c r="M121" s="12"/>
      <c r="N121" s="12">
        <v>0</v>
      </c>
      <c r="O121" s="12">
        <v>0</v>
      </c>
      <c r="P121" s="12">
        <f>+N121-O121</f>
        <v>0</v>
      </c>
      <c r="Q121" s="13"/>
      <c r="R121" s="12">
        <f t="shared" si="46"/>
        <v>7605000</v>
      </c>
      <c r="S121" s="12">
        <f t="shared" si="46"/>
        <v>7307017.5599999996</v>
      </c>
      <c r="T121" s="14">
        <f>+R121-S121</f>
        <v>297982.44000000041</v>
      </c>
      <c r="U121" s="17">
        <f t="shared" si="26"/>
        <v>0.96081756213017744</v>
      </c>
    </row>
    <row r="122" spans="2:22" ht="24.95" customHeight="1">
      <c r="B122" s="18"/>
      <c r="C122" s="10"/>
      <c r="D122" s="10"/>
      <c r="E122" s="22"/>
      <c r="F122" s="12"/>
      <c r="G122" s="12"/>
      <c r="H122" s="12"/>
      <c r="I122" s="13"/>
      <c r="J122" s="12"/>
      <c r="K122" s="12"/>
      <c r="L122" s="12"/>
      <c r="M122" s="12"/>
      <c r="N122" s="12"/>
      <c r="O122" s="12"/>
      <c r="P122" s="12"/>
      <c r="Q122" s="13"/>
      <c r="R122" s="12"/>
      <c r="S122" s="12"/>
      <c r="T122" s="14"/>
      <c r="U122" s="17"/>
    </row>
    <row r="123" spans="2:22" ht="24.95" customHeight="1">
      <c r="B123" s="18"/>
      <c r="C123" s="20" t="s">
        <v>112</v>
      </c>
      <c r="D123" s="20"/>
      <c r="E123" s="10"/>
      <c r="F123" s="12"/>
      <c r="G123" s="12"/>
      <c r="H123" s="12"/>
      <c r="I123" s="13"/>
      <c r="J123" s="12"/>
      <c r="K123" s="12"/>
      <c r="L123" s="12"/>
      <c r="M123" s="12"/>
      <c r="N123" s="12"/>
      <c r="O123" s="12"/>
      <c r="P123" s="12"/>
      <c r="Q123" s="13"/>
      <c r="R123" s="12"/>
      <c r="S123" s="12"/>
      <c r="T123" s="14"/>
      <c r="U123" s="17"/>
    </row>
    <row r="124" spans="2:22" ht="24.95" customHeight="1">
      <c r="B124" s="18"/>
      <c r="C124" s="20"/>
      <c r="D124" s="20"/>
      <c r="E124" s="10" t="s">
        <v>113</v>
      </c>
      <c r="F124" s="12">
        <v>25141000</v>
      </c>
      <c r="G124" s="12">
        <v>26775193.109999999</v>
      </c>
      <c r="H124" s="12">
        <f>+F124-G124</f>
        <v>-1634193.1099999994</v>
      </c>
      <c r="I124" s="13"/>
      <c r="J124" s="12"/>
      <c r="K124" s="12"/>
      <c r="L124" s="12">
        <f>+J124-K124</f>
        <v>0</v>
      </c>
      <c r="M124" s="12"/>
      <c r="N124" s="12"/>
      <c r="O124" s="12"/>
      <c r="P124" s="12">
        <f>+N124-O124</f>
        <v>0</v>
      </c>
      <c r="Q124" s="13"/>
      <c r="R124" s="12">
        <f t="shared" ref="R124:S126" si="47">+F124+J124+N124</f>
        <v>25141000</v>
      </c>
      <c r="S124" s="12">
        <f t="shared" si="47"/>
        <v>26775193.109999999</v>
      </c>
      <c r="T124" s="14">
        <f>+R124-S124</f>
        <v>-1634193.1099999994</v>
      </c>
      <c r="U124" s="17">
        <f t="shared" si="26"/>
        <v>1.06500111809395</v>
      </c>
      <c r="V124" s="2" t="s">
        <v>136</v>
      </c>
    </row>
    <row r="125" spans="2:22" ht="24.95" customHeight="1">
      <c r="B125" s="18"/>
      <c r="C125" s="10"/>
      <c r="D125" s="10"/>
      <c r="E125" s="22" t="s">
        <v>115</v>
      </c>
      <c r="F125" s="12">
        <v>46198692</v>
      </c>
      <c r="G125" s="12">
        <v>36550578.869999997</v>
      </c>
      <c r="H125" s="12">
        <f>+F125-G125</f>
        <v>9648113.1300000027</v>
      </c>
      <c r="I125" s="13"/>
      <c r="J125" s="12"/>
      <c r="K125" s="12"/>
      <c r="L125" s="12">
        <f>+J125-K125</f>
        <v>0</v>
      </c>
      <c r="M125" s="12"/>
      <c r="N125" s="12">
        <v>1223931</v>
      </c>
      <c r="O125" s="12">
        <v>450248.31</v>
      </c>
      <c r="P125" s="12">
        <f>+N125-O125</f>
        <v>773682.69</v>
      </c>
      <c r="Q125" s="13"/>
      <c r="R125" s="12">
        <f t="shared" si="47"/>
        <v>47422623</v>
      </c>
      <c r="S125" s="12">
        <f t="shared" si="47"/>
        <v>37000827.18</v>
      </c>
      <c r="T125" s="14">
        <f>+R125-S125</f>
        <v>10421795.82</v>
      </c>
      <c r="U125" s="17">
        <f t="shared" si="26"/>
        <v>0.78023577860718496</v>
      </c>
    </row>
    <row r="126" spans="2:22" ht="28.5" customHeight="1">
      <c r="B126" s="18"/>
      <c r="C126" s="10"/>
      <c r="D126" s="10"/>
      <c r="E126" s="22" t="s">
        <v>116</v>
      </c>
      <c r="F126" s="12">
        <v>13649000</v>
      </c>
      <c r="G126" s="12">
        <v>20916979.780000001</v>
      </c>
      <c r="H126" s="12">
        <f>+F126-G126</f>
        <v>-7267979.7800000012</v>
      </c>
      <c r="I126" s="13"/>
      <c r="J126" s="12"/>
      <c r="K126" s="12"/>
      <c r="L126" s="12">
        <f>+J126-K126</f>
        <v>0</v>
      </c>
      <c r="M126" s="12"/>
      <c r="N126" s="12"/>
      <c r="O126" s="12"/>
      <c r="P126" s="12">
        <f>+N126-O126</f>
        <v>0</v>
      </c>
      <c r="Q126" s="13"/>
      <c r="R126" s="12">
        <f t="shared" si="47"/>
        <v>13649000</v>
      </c>
      <c r="S126" s="12">
        <f t="shared" si="47"/>
        <v>20916979.780000001</v>
      </c>
      <c r="T126" s="14">
        <f>+R126-S126</f>
        <v>-7267979.7800000012</v>
      </c>
      <c r="U126" s="17">
        <f t="shared" si="26"/>
        <v>1.5324917415195254</v>
      </c>
    </row>
    <row r="127" spans="2:22" ht="24.95" customHeight="1">
      <c r="B127" s="18"/>
      <c r="C127" s="10"/>
      <c r="D127" s="10"/>
      <c r="E127" s="22"/>
      <c r="F127" s="12"/>
      <c r="G127" s="12"/>
      <c r="H127" s="12"/>
      <c r="I127" s="13"/>
      <c r="J127" s="12"/>
      <c r="K127" s="12"/>
      <c r="L127" s="12"/>
      <c r="M127" s="12"/>
      <c r="N127" s="12"/>
      <c r="O127" s="12"/>
      <c r="P127" s="12"/>
      <c r="Q127" s="13"/>
      <c r="R127" s="12"/>
      <c r="S127" s="12"/>
      <c r="T127" s="14"/>
      <c r="U127" s="17"/>
    </row>
    <row r="128" spans="2:22" ht="24.95" customHeight="1">
      <c r="B128" s="18"/>
      <c r="C128" s="20" t="s">
        <v>117</v>
      </c>
      <c r="D128" s="20"/>
      <c r="E128" s="10"/>
      <c r="F128" s="12"/>
      <c r="G128" s="12"/>
      <c r="H128" s="12"/>
      <c r="I128" s="13"/>
      <c r="J128" s="12"/>
      <c r="K128" s="12"/>
      <c r="L128" s="12"/>
      <c r="M128" s="12"/>
      <c r="N128" s="12"/>
      <c r="O128" s="12"/>
      <c r="P128" s="12"/>
      <c r="Q128" s="13"/>
      <c r="R128" s="12"/>
      <c r="S128" s="12"/>
      <c r="T128" s="14"/>
      <c r="U128" s="17"/>
    </row>
    <row r="129" spans="2:21" ht="24.95" customHeight="1">
      <c r="B129" s="18"/>
      <c r="C129" s="20"/>
      <c r="D129" s="20"/>
      <c r="E129" s="10" t="s">
        <v>118</v>
      </c>
      <c r="F129" s="12">
        <v>16312000</v>
      </c>
      <c r="G129" s="12">
        <v>16280732.949999999</v>
      </c>
      <c r="H129" s="12">
        <f>+F129-G129</f>
        <v>31267.050000000745</v>
      </c>
      <c r="I129" s="13"/>
      <c r="J129" s="12"/>
      <c r="K129" s="12"/>
      <c r="L129" s="12">
        <f>+J129-K129</f>
        <v>0</v>
      </c>
      <c r="M129" s="12"/>
      <c r="N129" s="12">
        <v>1671174</v>
      </c>
      <c r="O129" s="12">
        <v>1623912.75</v>
      </c>
      <c r="P129" s="12">
        <f>+N129-O129</f>
        <v>47261.25</v>
      </c>
      <c r="Q129" s="13"/>
      <c r="R129" s="12">
        <f t="shared" ref="R129:S131" si="48">+F129+J129+N129</f>
        <v>17983174</v>
      </c>
      <c r="S129" s="12">
        <f t="shared" si="48"/>
        <v>17904645.699999999</v>
      </c>
      <c r="T129" s="14">
        <f>+R129-S129</f>
        <v>78528.300000000745</v>
      </c>
      <c r="U129" s="17">
        <f t="shared" si="26"/>
        <v>0.99563323471151421</v>
      </c>
    </row>
    <row r="130" spans="2:21" ht="27.75" customHeight="1">
      <c r="B130" s="18"/>
      <c r="C130" s="10"/>
      <c r="D130" s="10"/>
      <c r="E130" s="22" t="s">
        <v>119</v>
      </c>
      <c r="F130" s="12">
        <v>18103000</v>
      </c>
      <c r="G130" s="12">
        <v>11437253.310000001</v>
      </c>
      <c r="H130" s="12">
        <f>+F130-G130</f>
        <v>6665746.6899999995</v>
      </c>
      <c r="I130" s="13"/>
      <c r="J130" s="12"/>
      <c r="K130" s="12"/>
      <c r="L130" s="12">
        <f>+J130-K130</f>
        <v>0</v>
      </c>
      <c r="M130" s="12"/>
      <c r="N130" s="12"/>
      <c r="O130" s="12"/>
      <c r="P130" s="12">
        <f>+N130-O130</f>
        <v>0</v>
      </c>
      <c r="Q130" s="13"/>
      <c r="R130" s="12">
        <f t="shared" si="48"/>
        <v>18103000</v>
      </c>
      <c r="S130" s="12">
        <f t="shared" si="48"/>
        <v>11437253.310000001</v>
      </c>
      <c r="T130" s="14">
        <f>+R130-S130</f>
        <v>6665746.6899999995</v>
      </c>
      <c r="U130" s="17">
        <f t="shared" si="26"/>
        <v>0.63178773186764625</v>
      </c>
    </row>
    <row r="131" spans="2:21" ht="24.95" customHeight="1">
      <c r="B131" s="18"/>
      <c r="C131" s="10"/>
      <c r="D131" s="10"/>
      <c r="E131" s="28" t="s">
        <v>120</v>
      </c>
      <c r="F131" s="12">
        <v>5553000</v>
      </c>
      <c r="G131" s="12">
        <v>3913689.69</v>
      </c>
      <c r="H131" s="12">
        <f>+F131-G131</f>
        <v>1639310.31</v>
      </c>
      <c r="I131" s="13"/>
      <c r="J131" s="12"/>
      <c r="K131" s="12"/>
      <c r="L131" s="12">
        <f>+J131-K131</f>
        <v>0</v>
      </c>
      <c r="M131" s="12"/>
      <c r="N131" s="12"/>
      <c r="O131" s="12"/>
      <c r="P131" s="12">
        <f>+N131-O131</f>
        <v>0</v>
      </c>
      <c r="Q131" s="13"/>
      <c r="R131" s="12">
        <f t="shared" si="48"/>
        <v>5553000</v>
      </c>
      <c r="S131" s="12">
        <f t="shared" si="48"/>
        <v>3913689.69</v>
      </c>
      <c r="T131" s="14">
        <f>+R131-S131</f>
        <v>1639310.31</v>
      </c>
      <c r="U131" s="17">
        <f t="shared" si="26"/>
        <v>0.70478834683954616</v>
      </c>
    </row>
    <row r="132" spans="2:21" ht="24.95" customHeight="1">
      <c r="B132" s="18"/>
      <c r="C132" s="10"/>
      <c r="D132" s="10"/>
      <c r="E132" s="28"/>
      <c r="F132" s="12"/>
      <c r="G132" s="12"/>
      <c r="H132" s="12"/>
      <c r="I132" s="13"/>
      <c r="J132" s="12"/>
      <c r="K132" s="12"/>
      <c r="L132" s="12"/>
      <c r="M132" s="12"/>
      <c r="N132" s="12"/>
      <c r="O132" s="12"/>
      <c r="P132" s="12"/>
      <c r="Q132" s="13"/>
      <c r="R132" s="12"/>
      <c r="S132" s="12"/>
      <c r="T132" s="14"/>
      <c r="U132" s="17"/>
    </row>
    <row r="133" spans="2:21" ht="24.95" customHeight="1">
      <c r="B133" s="18"/>
      <c r="C133" s="20" t="s">
        <v>121</v>
      </c>
      <c r="D133" s="20"/>
      <c r="E133" s="10"/>
      <c r="F133" s="12"/>
      <c r="G133" s="12"/>
      <c r="H133" s="12"/>
      <c r="I133" s="13"/>
      <c r="J133" s="12"/>
      <c r="K133" s="12"/>
      <c r="L133" s="12"/>
      <c r="M133" s="12"/>
      <c r="N133" s="12"/>
      <c r="O133" s="12"/>
      <c r="P133" s="12"/>
      <c r="Q133" s="13"/>
      <c r="R133" s="12"/>
      <c r="S133" s="12"/>
      <c r="T133" s="14"/>
      <c r="U133" s="17"/>
    </row>
    <row r="134" spans="2:21" ht="24.95" customHeight="1">
      <c r="B134" s="18"/>
      <c r="C134" s="20"/>
      <c r="D134" s="20"/>
      <c r="E134" s="10" t="s">
        <v>122</v>
      </c>
      <c r="F134" s="12">
        <v>77928000</v>
      </c>
      <c r="G134" s="12">
        <v>23530763.539999999</v>
      </c>
      <c r="H134" s="12">
        <f>+F134-G134</f>
        <v>54397236.460000001</v>
      </c>
      <c r="I134" s="13"/>
      <c r="J134" s="12">
        <v>1076000</v>
      </c>
      <c r="K134" s="12">
        <v>538826.76</v>
      </c>
      <c r="L134" s="12">
        <f>+J134-K134</f>
        <v>537173.24</v>
      </c>
      <c r="M134" s="12"/>
      <c r="N134" s="12"/>
      <c r="O134" s="12"/>
      <c r="P134" s="12">
        <f>+N134-O134</f>
        <v>0</v>
      </c>
      <c r="Q134" s="13"/>
      <c r="R134" s="12">
        <f t="shared" ref="R134:S136" si="49">+F134+J134+N134</f>
        <v>79004000</v>
      </c>
      <c r="S134" s="12">
        <f t="shared" si="49"/>
        <v>24069590.300000001</v>
      </c>
      <c r="T134" s="14">
        <f>+R134-S134</f>
        <v>54934409.700000003</v>
      </c>
      <c r="U134" s="17">
        <f t="shared" si="26"/>
        <v>0.30466293225659463</v>
      </c>
    </row>
    <row r="135" spans="2:21" ht="27.75" customHeight="1">
      <c r="B135" s="18"/>
      <c r="C135" s="10"/>
      <c r="D135" s="10"/>
      <c r="E135" s="22" t="s">
        <v>123</v>
      </c>
      <c r="F135" s="12">
        <v>18167000</v>
      </c>
      <c r="G135" s="12">
        <v>10080520.74</v>
      </c>
      <c r="H135" s="12">
        <f>+F135-G135</f>
        <v>8086479.2599999998</v>
      </c>
      <c r="I135" s="13"/>
      <c r="J135" s="12"/>
      <c r="K135" s="12"/>
      <c r="L135" s="12">
        <f>+J135-K135</f>
        <v>0</v>
      </c>
      <c r="M135" s="12"/>
      <c r="N135" s="12">
        <v>1086173</v>
      </c>
      <c r="O135" s="12">
        <v>1086173</v>
      </c>
      <c r="P135" s="12">
        <f>+N135-O135</f>
        <v>0</v>
      </c>
      <c r="Q135" s="13"/>
      <c r="R135" s="12">
        <f t="shared" si="49"/>
        <v>19253173</v>
      </c>
      <c r="S135" s="12">
        <f t="shared" si="49"/>
        <v>11166693.74</v>
      </c>
      <c r="T135" s="14">
        <f>+R135-S135</f>
        <v>8086479.2599999998</v>
      </c>
      <c r="U135" s="17">
        <f t="shared" si="26"/>
        <v>0.57999238567066325</v>
      </c>
    </row>
    <row r="136" spans="2:21" ht="27.75" customHeight="1">
      <c r="B136" s="18"/>
      <c r="C136" s="10"/>
      <c r="D136" s="10"/>
      <c r="E136" s="22" t="s">
        <v>124</v>
      </c>
      <c r="F136" s="12">
        <v>16340000</v>
      </c>
      <c r="G136" s="12">
        <v>8998205.5899999999</v>
      </c>
      <c r="H136" s="12">
        <f>+F136-G136</f>
        <v>7341794.4100000001</v>
      </c>
      <c r="I136" s="13"/>
      <c r="J136" s="12"/>
      <c r="K136" s="12"/>
      <c r="L136" s="12">
        <f>+J136-K136</f>
        <v>0</v>
      </c>
      <c r="M136" s="12"/>
      <c r="N136" s="12"/>
      <c r="O136" s="12"/>
      <c r="P136" s="12">
        <f>+N136-O136</f>
        <v>0</v>
      </c>
      <c r="Q136" s="13"/>
      <c r="R136" s="12">
        <f t="shared" si="49"/>
        <v>16340000</v>
      </c>
      <c r="S136" s="12">
        <f t="shared" si="49"/>
        <v>8998205.5899999999</v>
      </c>
      <c r="T136" s="14">
        <f>+R136-S136</f>
        <v>7341794.4100000001</v>
      </c>
      <c r="U136" s="17">
        <f t="shared" si="26"/>
        <v>0.55068577662178697</v>
      </c>
    </row>
    <row r="137" spans="2:21" ht="27.75" customHeight="1">
      <c r="B137" s="18"/>
      <c r="C137" s="10"/>
      <c r="D137" s="10"/>
      <c r="E137" s="31" t="s">
        <v>51</v>
      </c>
      <c r="F137" s="32">
        <f>SUM(F108:F136)</f>
        <v>468720799</v>
      </c>
      <c r="G137" s="32">
        <f t="shared" ref="G137:S137" si="50">SUM(G108:G136)</f>
        <v>330335786.69</v>
      </c>
      <c r="H137" s="32">
        <f t="shared" si="50"/>
        <v>138385012.31</v>
      </c>
      <c r="I137" s="32">
        <f t="shared" si="50"/>
        <v>0</v>
      </c>
      <c r="J137" s="32">
        <f>SUM(J108:J136)</f>
        <v>6880911.7999999998</v>
      </c>
      <c r="K137" s="32">
        <f>SUM(K108:K136)</f>
        <v>6343738.5599999996</v>
      </c>
      <c r="L137" s="32">
        <f>SUM(L108:L136)</f>
        <v>537173.24</v>
      </c>
      <c r="M137" s="32">
        <f t="shared" si="50"/>
        <v>0</v>
      </c>
      <c r="N137" s="32">
        <f>SUM(N108:N136)</f>
        <v>5219971</v>
      </c>
      <c r="O137" s="32">
        <f>SUM(O108:O136)</f>
        <v>3723668.26</v>
      </c>
      <c r="P137" s="32">
        <f>SUM(P108:P136)</f>
        <v>1496302.74</v>
      </c>
      <c r="Q137" s="32">
        <f t="shared" si="50"/>
        <v>0</v>
      </c>
      <c r="R137" s="32">
        <f t="shared" si="50"/>
        <v>480821681.80000001</v>
      </c>
      <c r="S137" s="32">
        <f t="shared" si="50"/>
        <v>340403193.50999999</v>
      </c>
      <c r="T137" s="34">
        <f>SUM(T108:T136)</f>
        <v>140418488.28999999</v>
      </c>
      <c r="U137" s="17">
        <f t="shared" si="26"/>
        <v>0.70796140522546624</v>
      </c>
    </row>
    <row r="138" spans="2:21" ht="24.95" customHeight="1">
      <c r="B138" s="18"/>
      <c r="C138" s="10"/>
      <c r="D138" s="10"/>
      <c r="E138" s="22"/>
      <c r="F138" s="12"/>
      <c r="G138" s="12"/>
      <c r="H138" s="12"/>
      <c r="I138" s="13"/>
      <c r="J138" s="12"/>
      <c r="K138" s="12"/>
      <c r="L138" s="12"/>
      <c r="M138" s="12"/>
      <c r="N138" s="12"/>
      <c r="O138" s="12"/>
      <c r="P138" s="12"/>
      <c r="Q138" s="13"/>
      <c r="R138" s="12"/>
      <c r="S138" s="12"/>
      <c r="T138" s="14"/>
      <c r="U138" s="17"/>
    </row>
    <row r="139" spans="2:21" ht="27.75" customHeight="1">
      <c r="B139" s="18"/>
      <c r="C139" s="24" t="s">
        <v>147</v>
      </c>
      <c r="D139" s="10"/>
      <c r="E139" s="22"/>
      <c r="F139" s="32"/>
      <c r="G139" s="32"/>
      <c r="H139" s="32"/>
      <c r="I139" s="33"/>
      <c r="J139" s="32"/>
      <c r="K139" s="32"/>
      <c r="L139" s="32"/>
      <c r="M139" s="32"/>
      <c r="N139" s="32"/>
      <c r="O139" s="32"/>
      <c r="P139" s="32"/>
      <c r="Q139" s="33"/>
      <c r="R139" s="32"/>
      <c r="S139" s="32"/>
      <c r="T139" s="34"/>
      <c r="U139" s="17"/>
    </row>
    <row r="140" spans="2:21" ht="27.75" customHeight="1">
      <c r="B140" s="18"/>
      <c r="C140" s="10"/>
      <c r="D140" s="10"/>
      <c r="E140" s="10" t="s">
        <v>148</v>
      </c>
      <c r="F140" s="12">
        <v>16660000</v>
      </c>
      <c r="G140" s="12">
        <v>9349987.5600000005</v>
      </c>
      <c r="H140" s="12">
        <f>+F140-G140</f>
        <v>7310012.4399999995</v>
      </c>
      <c r="I140" s="13"/>
      <c r="J140" s="12"/>
      <c r="K140" s="12"/>
      <c r="L140" s="12">
        <f>+J140-K140</f>
        <v>0</v>
      </c>
      <c r="M140" s="12"/>
      <c r="N140" s="12"/>
      <c r="O140" s="12"/>
      <c r="P140" s="12">
        <f>+N140-O140</f>
        <v>0</v>
      </c>
      <c r="Q140" s="13"/>
      <c r="R140" s="12">
        <f t="shared" ref="R140:S141" si="51">+F140+J140+N140</f>
        <v>16660000</v>
      </c>
      <c r="S140" s="12">
        <f t="shared" si="51"/>
        <v>9349987.5600000005</v>
      </c>
      <c r="T140" s="14">
        <f>+R140-S140</f>
        <v>7310012.4399999995</v>
      </c>
      <c r="U140" s="17">
        <f t="shared" ref="U140:U141" si="52">+S140/R140</f>
        <v>0.56122374309723888</v>
      </c>
    </row>
    <row r="141" spans="2:21" ht="27.75" customHeight="1">
      <c r="B141" s="18"/>
      <c r="C141" s="10"/>
      <c r="D141" s="10"/>
      <c r="E141" s="10" t="s">
        <v>149</v>
      </c>
      <c r="F141" s="12">
        <v>25190000</v>
      </c>
      <c r="G141" s="12">
        <v>16649754.49</v>
      </c>
      <c r="H141" s="12">
        <f>+F141-G141</f>
        <v>8540245.5099999998</v>
      </c>
      <c r="I141" s="13"/>
      <c r="J141" s="12"/>
      <c r="K141" s="12"/>
      <c r="L141" s="12">
        <f>+J141-K141</f>
        <v>0</v>
      </c>
      <c r="M141" s="12"/>
      <c r="N141" s="12"/>
      <c r="O141" s="12"/>
      <c r="P141" s="12">
        <f>+N141-O141</f>
        <v>0</v>
      </c>
      <c r="Q141" s="13"/>
      <c r="R141" s="12">
        <f t="shared" si="51"/>
        <v>25190000</v>
      </c>
      <c r="S141" s="12">
        <f t="shared" si="51"/>
        <v>16649754.49</v>
      </c>
      <c r="T141" s="14">
        <f>+R141-S141</f>
        <v>8540245.5099999998</v>
      </c>
      <c r="U141" s="17">
        <f t="shared" si="52"/>
        <v>0.66096683167923775</v>
      </c>
    </row>
    <row r="142" spans="2:21" ht="24.95" customHeight="1">
      <c r="B142" s="18"/>
      <c r="C142" s="10"/>
      <c r="D142" s="10"/>
      <c r="E142" s="22"/>
      <c r="F142" s="12"/>
      <c r="G142" s="12"/>
      <c r="H142" s="12"/>
      <c r="I142" s="13"/>
      <c r="J142" s="12"/>
      <c r="K142" s="12"/>
      <c r="L142" s="12"/>
      <c r="M142" s="12"/>
      <c r="N142" s="12"/>
      <c r="O142" s="12"/>
      <c r="P142" s="12"/>
      <c r="Q142" s="13"/>
      <c r="R142" s="12"/>
      <c r="S142" s="12"/>
      <c r="T142" s="14"/>
      <c r="U142" s="17"/>
    </row>
    <row r="143" spans="2:21" s="48" customFormat="1" ht="15.75" thickBot="1">
      <c r="B143" s="44"/>
      <c r="C143" s="24"/>
      <c r="D143" s="24"/>
      <c r="E143" s="45" t="s">
        <v>125</v>
      </c>
      <c r="F143" s="46">
        <f>+F8+F51+F81+F104+F137+F49+F50+F140+F141</f>
        <v>2401995060.8199997</v>
      </c>
      <c r="G143" s="46">
        <f t="shared" ref="G143:H143" si="53">+G8+G51+G81+G104+G137+G49+G50+G140+G141</f>
        <v>1834742449.5593748</v>
      </c>
      <c r="H143" s="46">
        <f t="shared" si="53"/>
        <v>567252611.260625</v>
      </c>
      <c r="I143" s="46">
        <f t="shared" ref="I143:Q143" si="54">+I8+I51+I81+I104+I137+I49+I50</f>
        <v>2208000</v>
      </c>
      <c r="J143" s="46">
        <f>+J8+J51+J81+J104+J137+J49+J50+J140+J141</f>
        <v>139979617.90000001</v>
      </c>
      <c r="K143" s="46">
        <f t="shared" ref="K143:L143" si="55">+K8+K51+K81+K104+K137+K49+K50+K140+K141</f>
        <v>111900697.79000001</v>
      </c>
      <c r="L143" s="46">
        <f t="shared" si="55"/>
        <v>28078920.109999999</v>
      </c>
      <c r="M143" s="46">
        <f t="shared" si="54"/>
        <v>0</v>
      </c>
      <c r="N143" s="46">
        <f>+N8+N51+N81+N104+N137+N49+N50+N140+N141</f>
        <v>216579259.08000001</v>
      </c>
      <c r="O143" s="46">
        <f t="shared" ref="O143:P143" si="56">+O8+O51+O81+O104+O137+O49+O50+O140+O141</f>
        <v>131238290.34</v>
      </c>
      <c r="P143" s="46">
        <f t="shared" si="56"/>
        <v>87094166.560000017</v>
      </c>
      <c r="Q143" s="46">
        <f t="shared" si="54"/>
        <v>0</v>
      </c>
      <c r="R143" s="46">
        <f>+R8+R51+R81+R104+R137+R49+R50+R140+R141</f>
        <v>2758553937.8000002</v>
      </c>
      <c r="S143" s="46">
        <f t="shared" ref="S143:T143" si="57">+S8+S51+S81+S104+S137+S49+S50+S140+S141</f>
        <v>2077881437.6893749</v>
      </c>
      <c r="T143" s="46">
        <f t="shared" si="57"/>
        <v>680672500.11062503</v>
      </c>
      <c r="U143" s="47">
        <f>+S143/R143</f>
        <v>0.753250247971053</v>
      </c>
    </row>
    <row r="144" spans="2:21" ht="15.75" thickTop="1" thickBot="1">
      <c r="B144" s="49"/>
      <c r="C144" s="50"/>
      <c r="D144" s="50"/>
      <c r="E144" s="51"/>
      <c r="F144" s="52"/>
      <c r="G144" s="52"/>
      <c r="H144" s="52"/>
      <c r="I144" s="53"/>
      <c r="J144" s="54"/>
      <c r="K144" s="54"/>
      <c r="L144" s="54"/>
      <c r="M144" s="54"/>
      <c r="N144" s="54"/>
      <c r="O144" s="54"/>
      <c r="P144" s="54"/>
      <c r="Q144" s="53"/>
      <c r="R144" s="54"/>
      <c r="S144" s="54"/>
      <c r="T144" s="55"/>
      <c r="U144" s="56"/>
    </row>
    <row r="145" spans="6:20" ht="24.95" customHeight="1">
      <c r="F145" s="30">
        <f>+F143+J143</f>
        <v>2541974678.7199998</v>
      </c>
      <c r="G145" s="30">
        <f>+G143+K143</f>
        <v>1946643147.3493748</v>
      </c>
      <c r="H145" s="30">
        <f>+F145-G145</f>
        <v>595331531.37062502</v>
      </c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6:20" ht="24.95" customHeight="1">
      <c r="F146" s="58" t="s">
        <v>126</v>
      </c>
      <c r="J146" s="58" t="s">
        <v>127</v>
      </c>
      <c r="K146" s="30"/>
      <c r="N146" s="58" t="s">
        <v>128</v>
      </c>
      <c r="R146" s="13"/>
      <c r="S146" s="13"/>
      <c r="T146" s="13"/>
    </row>
    <row r="147" spans="6:20" ht="24.95" customHeight="1">
      <c r="R147" s="13"/>
      <c r="S147" s="13"/>
      <c r="T147" s="13"/>
    </row>
    <row r="148" spans="6:20" ht="24.95" customHeight="1">
      <c r="F148" s="59" t="s">
        <v>129</v>
      </c>
      <c r="J148" s="59" t="s">
        <v>130</v>
      </c>
      <c r="N148" s="59" t="s">
        <v>131</v>
      </c>
      <c r="R148" s="30"/>
      <c r="S148" s="30"/>
      <c r="T148" s="30"/>
    </row>
    <row r="149" spans="6:20" ht="17.25" customHeight="1">
      <c r="F149" s="58" t="s">
        <v>132</v>
      </c>
      <c r="J149" s="58" t="s">
        <v>133</v>
      </c>
      <c r="N149" s="58" t="s">
        <v>134</v>
      </c>
    </row>
  </sheetData>
  <autoFilter ref="B7:U140"/>
  <mergeCells count="11">
    <mergeCell ref="U5:U6"/>
    <mergeCell ref="C11:E11"/>
    <mergeCell ref="B1:T1"/>
    <mergeCell ref="B2:T2"/>
    <mergeCell ref="B3:T3"/>
    <mergeCell ref="B4:T4"/>
    <mergeCell ref="B5:E6"/>
    <mergeCell ref="F5:H5"/>
    <mergeCell ref="J5:L5"/>
    <mergeCell ref="N5:P5"/>
    <mergeCell ref="R5:T5"/>
  </mergeCells>
  <pageMargins left="1.25" right="0" top="0.36" bottom="0.3" header="0.27" footer="0.17"/>
  <pageSetup paperSize="5" scale="55" orientation="landscape" horizontalDpi="0" verticalDpi="0" r:id="rId1"/>
  <headerFooter>
    <oddFooter>&amp;R&amp;"-,Italic"&amp;8Page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Y149"/>
  <sheetViews>
    <sheetView zoomScale="75" zoomScaleNormal="75" workbookViewId="0">
      <pane xSplit="5" ySplit="6" topLeftCell="F55" activePane="bottomRight" state="frozen"/>
      <selection pane="topRight" activeCell="F1" sqref="F1"/>
      <selection pane="bottomLeft" activeCell="A7" sqref="A7"/>
      <selection pane="bottomRight" activeCell="C61" sqref="C61"/>
    </sheetView>
  </sheetViews>
  <sheetFormatPr defaultRowHeight="24.95" customHeight="1"/>
  <cols>
    <col min="1" max="4" width="2.7109375" style="2" customWidth="1"/>
    <col min="5" max="5" width="50.5703125" style="57" customWidth="1"/>
    <col min="6" max="7" width="19.28515625" style="2" customWidth="1"/>
    <col min="8" max="8" width="18.5703125" style="2" customWidth="1"/>
    <col min="9" max="9" width="0.7109375" style="2" customWidth="1"/>
    <col min="10" max="10" width="24" style="2" bestFit="1" customWidth="1"/>
    <col min="11" max="11" width="18.7109375" style="2" bestFit="1" customWidth="1"/>
    <col min="12" max="12" width="19.42578125" style="2" bestFit="1" customWidth="1"/>
    <col min="13" max="13" width="0.5703125" style="2" customWidth="1"/>
    <col min="14" max="15" width="18.7109375" style="2" bestFit="1" customWidth="1"/>
    <col min="16" max="16" width="16.5703125" style="2" customWidth="1"/>
    <col min="17" max="17" width="0.7109375" style="2" customWidth="1"/>
    <col min="18" max="19" width="19.85546875" style="2" bestFit="1" customWidth="1"/>
    <col min="20" max="20" width="18.7109375" style="2" bestFit="1" customWidth="1"/>
    <col min="21" max="21" width="14.5703125" style="1" customWidth="1"/>
    <col min="22" max="22" width="9.140625" style="2"/>
    <col min="23" max="23" width="13.140625" style="2" bestFit="1" customWidth="1"/>
    <col min="24" max="16384" width="9.140625" style="2"/>
  </cols>
  <sheetData>
    <row r="1" spans="2:21" ht="18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2:21" ht="20.25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21" ht="18">
      <c r="B3" s="131" t="s">
        <v>137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1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2:21" ht="24.95" customHeight="1">
      <c r="B5" s="134" t="s">
        <v>3</v>
      </c>
      <c r="C5" s="135"/>
      <c r="D5" s="135"/>
      <c r="E5" s="136"/>
      <c r="F5" s="140" t="s">
        <v>4</v>
      </c>
      <c r="G5" s="141"/>
      <c r="H5" s="142"/>
      <c r="I5" s="3"/>
      <c r="J5" s="140" t="s">
        <v>5</v>
      </c>
      <c r="K5" s="141"/>
      <c r="L5" s="142"/>
      <c r="M5" s="4"/>
      <c r="N5" s="140" t="s">
        <v>6</v>
      </c>
      <c r="O5" s="141"/>
      <c r="P5" s="142"/>
      <c r="Q5" s="3"/>
      <c r="R5" s="140" t="s">
        <v>7</v>
      </c>
      <c r="S5" s="141"/>
      <c r="T5" s="143"/>
      <c r="U5" s="127" t="s">
        <v>8</v>
      </c>
    </row>
    <row r="6" spans="2:21" s="8" customFormat="1" ht="28.5" customHeight="1" thickBot="1">
      <c r="B6" s="137"/>
      <c r="C6" s="138"/>
      <c r="D6" s="138"/>
      <c r="E6" s="139"/>
      <c r="F6" s="5" t="s">
        <v>9</v>
      </c>
      <c r="G6" s="6" t="s">
        <v>10</v>
      </c>
      <c r="H6" s="5" t="s">
        <v>11</v>
      </c>
      <c r="I6" s="6"/>
      <c r="J6" s="5" t="s">
        <v>12</v>
      </c>
      <c r="K6" s="6" t="s">
        <v>10</v>
      </c>
      <c r="L6" s="5" t="s">
        <v>11</v>
      </c>
      <c r="M6" s="5"/>
      <c r="N6" s="5" t="s">
        <v>9</v>
      </c>
      <c r="O6" s="6" t="s">
        <v>10</v>
      </c>
      <c r="P6" s="5" t="s">
        <v>11</v>
      </c>
      <c r="Q6" s="5"/>
      <c r="R6" s="6" t="s">
        <v>13</v>
      </c>
      <c r="S6" s="6" t="s">
        <v>10</v>
      </c>
      <c r="T6" s="7" t="s">
        <v>11</v>
      </c>
      <c r="U6" s="128"/>
    </row>
    <row r="7" spans="2:21" ht="24.95" customHeight="1">
      <c r="B7" s="9"/>
      <c r="C7" s="10"/>
      <c r="D7" s="10"/>
      <c r="E7" s="11"/>
      <c r="F7" s="12"/>
      <c r="G7" s="12"/>
      <c r="H7" s="12"/>
      <c r="I7" s="13"/>
      <c r="J7" s="12"/>
      <c r="K7" s="12"/>
      <c r="L7" s="12"/>
      <c r="M7" s="12"/>
      <c r="N7" s="12"/>
      <c r="O7" s="12"/>
      <c r="P7" s="12"/>
      <c r="Q7" s="13"/>
      <c r="R7" s="12"/>
      <c r="S7" s="12"/>
      <c r="T7" s="14"/>
      <c r="U7" s="15"/>
    </row>
    <row r="8" spans="2:21" ht="24.95" customHeight="1">
      <c r="B8" s="9" t="s">
        <v>14</v>
      </c>
      <c r="C8" s="10"/>
      <c r="D8" s="10"/>
      <c r="E8" s="11"/>
      <c r="F8" s="12">
        <f>335684000+570000000+6916.5+4500-270556923.26</f>
        <v>635138493.24000001</v>
      </c>
      <c r="G8" s="12">
        <v>635139123.78999996</v>
      </c>
      <c r="H8" s="12">
        <f>+F8-G8</f>
        <v>-630.54999995231628</v>
      </c>
      <c r="I8" s="13"/>
      <c r="J8" s="12"/>
      <c r="K8" s="12"/>
      <c r="L8" s="12">
        <f>+J8-K8</f>
        <v>0</v>
      </c>
      <c r="M8" s="12"/>
      <c r="N8" s="12">
        <f>245422+346310+177209</f>
        <v>768941</v>
      </c>
      <c r="O8" s="12">
        <v>525246.63</v>
      </c>
      <c r="P8" s="12">
        <f>+N8-O8</f>
        <v>243694.37</v>
      </c>
      <c r="Q8" s="16"/>
      <c r="R8" s="12">
        <f>+F8+J8+N8</f>
        <v>635907434.24000001</v>
      </c>
      <c r="S8" s="12">
        <f>+G8+K8+O8</f>
        <v>635664370.41999996</v>
      </c>
      <c r="T8" s="14">
        <f>+R8-S8</f>
        <v>243063.82000005245</v>
      </c>
      <c r="U8" s="17">
        <f>+S8/R8</f>
        <v>0.99961776855103046</v>
      </c>
    </row>
    <row r="9" spans="2:21" ht="24.95" customHeight="1">
      <c r="B9" s="18"/>
      <c r="C9" s="10"/>
      <c r="D9" s="10"/>
      <c r="E9" s="19"/>
      <c r="F9" s="12"/>
      <c r="G9" s="12"/>
      <c r="H9" s="12">
        <f>+F9-G9</f>
        <v>0</v>
      </c>
      <c r="I9" s="13"/>
      <c r="J9" s="12"/>
      <c r="K9" s="12"/>
      <c r="L9" s="12">
        <f>+J9-K9</f>
        <v>0</v>
      </c>
      <c r="M9" s="12"/>
      <c r="N9" s="12"/>
      <c r="O9" s="12"/>
      <c r="P9" s="12">
        <f>+N9-O9</f>
        <v>0</v>
      </c>
      <c r="Q9" s="13"/>
      <c r="R9" s="12"/>
      <c r="S9" s="12"/>
      <c r="T9" s="14"/>
      <c r="U9" s="17"/>
    </row>
    <row r="10" spans="2:21" ht="24.95" customHeight="1">
      <c r="B10" s="9" t="s">
        <v>15</v>
      </c>
      <c r="C10" s="10"/>
      <c r="D10" s="10"/>
      <c r="E10" s="11"/>
      <c r="F10" s="12"/>
      <c r="G10" s="12"/>
      <c r="H10" s="12"/>
      <c r="I10" s="13"/>
      <c r="J10" s="12"/>
      <c r="K10" s="12"/>
      <c r="L10" s="12"/>
      <c r="M10" s="12"/>
      <c r="N10" s="12"/>
      <c r="O10" s="12"/>
      <c r="P10" s="12"/>
      <c r="Q10" s="13"/>
      <c r="R10" s="12"/>
      <c r="S10" s="12"/>
      <c r="T10" s="14"/>
      <c r="U10" s="17"/>
    </row>
    <row r="11" spans="2:21" ht="30" customHeight="1">
      <c r="B11" s="9"/>
      <c r="C11" s="129" t="s">
        <v>16</v>
      </c>
      <c r="D11" s="129"/>
      <c r="E11" s="130"/>
      <c r="F11" s="12">
        <f>SUM(F13:F46)</f>
        <v>920351088.63999999</v>
      </c>
      <c r="G11" s="12">
        <f t="shared" ref="G11:T11" si="0">SUM(G13:G46)</f>
        <v>938996503.41999996</v>
      </c>
      <c r="H11" s="12">
        <f t="shared" si="0"/>
        <v>-18645414.780000016</v>
      </c>
      <c r="I11" s="12">
        <f t="shared" si="0"/>
        <v>2208000</v>
      </c>
      <c r="J11" s="12">
        <f>SUM(J13:J46)</f>
        <v>70000000</v>
      </c>
      <c r="K11" s="12">
        <f>SUM(K13:K46)</f>
        <v>71663174.349999994</v>
      </c>
      <c r="L11" s="12">
        <f>SUM(L13:L46)</f>
        <v>-1663174.349999994</v>
      </c>
      <c r="M11" s="12">
        <f t="shared" si="0"/>
        <v>0</v>
      </c>
      <c r="N11" s="12">
        <f>SUM(N13:N46)</f>
        <v>137883442</v>
      </c>
      <c r="O11" s="12">
        <f>SUM(O13:O46)</f>
        <v>179657773.00999999</v>
      </c>
      <c r="P11" s="12">
        <f>SUM(P13:P46)</f>
        <v>-41774331.009999983</v>
      </c>
      <c r="Q11" s="12">
        <f t="shared" si="0"/>
        <v>0</v>
      </c>
      <c r="R11" s="12">
        <f t="shared" si="0"/>
        <v>1128234530.6399999</v>
      </c>
      <c r="S11" s="12">
        <f t="shared" si="0"/>
        <v>1190317450.78</v>
      </c>
      <c r="T11" s="14">
        <f t="shared" si="0"/>
        <v>-62082920.139999971</v>
      </c>
      <c r="U11" s="17">
        <f>+S11/R11</f>
        <v>1.0550266087892055</v>
      </c>
    </row>
    <row r="12" spans="2:21" ht="24.95" customHeight="1">
      <c r="B12" s="18"/>
      <c r="C12" s="20" t="s">
        <v>17</v>
      </c>
      <c r="D12" s="20"/>
      <c r="E12" s="10"/>
      <c r="F12" s="12"/>
      <c r="G12" s="12"/>
      <c r="H12" s="12">
        <f t="shared" ref="H12:H17" si="1">+F12-G12</f>
        <v>0</v>
      </c>
      <c r="I12" s="13"/>
      <c r="J12" s="12"/>
      <c r="K12" s="12"/>
      <c r="L12" s="12">
        <f t="shared" ref="L12:L17" si="2">+J12-K12</f>
        <v>0</v>
      </c>
      <c r="M12" s="12"/>
      <c r="N12" s="12"/>
      <c r="O12" s="12"/>
      <c r="P12" s="12">
        <f t="shared" ref="P12:P17" si="3">+N12-O12</f>
        <v>0</v>
      </c>
      <c r="Q12" s="13"/>
      <c r="R12" s="12"/>
      <c r="S12" s="12"/>
      <c r="T12" s="14"/>
      <c r="U12" s="17"/>
    </row>
    <row r="13" spans="2:21" ht="24.95" customHeight="1">
      <c r="B13" s="18"/>
      <c r="C13" s="20"/>
      <c r="D13" s="20"/>
      <c r="E13" s="10" t="s">
        <v>18</v>
      </c>
      <c r="F13" s="12">
        <v>23390000</v>
      </c>
      <c r="G13" s="12">
        <v>37480954.060000002</v>
      </c>
      <c r="H13" s="12">
        <f t="shared" si="1"/>
        <v>-14090954.060000002</v>
      </c>
      <c r="I13" s="13"/>
      <c r="J13" s="12"/>
      <c r="K13" s="12"/>
      <c r="L13" s="12">
        <f t="shared" si="2"/>
        <v>0</v>
      </c>
      <c r="M13" s="12"/>
      <c r="N13" s="12"/>
      <c r="O13" s="12"/>
      <c r="P13" s="12">
        <f t="shared" si="3"/>
        <v>0</v>
      </c>
      <c r="Q13" s="13"/>
      <c r="R13" s="12">
        <f t="shared" ref="R13:S17" si="4">+F13+J13+N13</f>
        <v>23390000</v>
      </c>
      <c r="S13" s="12">
        <f t="shared" si="4"/>
        <v>37480954.060000002</v>
      </c>
      <c r="T13" s="14">
        <f>+R13-S13</f>
        <v>-14090954.060000002</v>
      </c>
      <c r="U13" s="17">
        <f t="shared" ref="U13:U72" si="5">+S13/R13</f>
        <v>1.6024349747755453</v>
      </c>
    </row>
    <row r="14" spans="2:21" ht="24.95" customHeight="1">
      <c r="B14" s="18"/>
      <c r="C14" s="10"/>
      <c r="D14" s="10"/>
      <c r="E14" s="21" t="s">
        <v>19</v>
      </c>
      <c r="F14" s="12">
        <v>8385000</v>
      </c>
      <c r="G14" s="12">
        <v>9387924.0900000017</v>
      </c>
      <c r="H14" s="12">
        <f t="shared" si="1"/>
        <v>-1002924.0900000017</v>
      </c>
      <c r="I14" s="13"/>
      <c r="J14" s="12"/>
      <c r="K14" s="12"/>
      <c r="L14" s="12">
        <f t="shared" si="2"/>
        <v>0</v>
      </c>
      <c r="M14" s="12"/>
      <c r="N14" s="12"/>
      <c r="O14" s="12"/>
      <c r="P14" s="12">
        <f t="shared" si="3"/>
        <v>0</v>
      </c>
      <c r="Q14" s="13"/>
      <c r="R14" s="12">
        <f t="shared" si="4"/>
        <v>8385000</v>
      </c>
      <c r="S14" s="12">
        <f t="shared" si="4"/>
        <v>9387924.0900000017</v>
      </c>
      <c r="T14" s="14">
        <f>+R14-S14</f>
        <v>-1002924.0900000017</v>
      </c>
      <c r="U14" s="17">
        <f t="shared" si="5"/>
        <v>1.1196093130590341</v>
      </c>
    </row>
    <row r="15" spans="2:21" ht="27" customHeight="1">
      <c r="B15" s="18"/>
      <c r="C15" s="10"/>
      <c r="D15" s="10"/>
      <c r="E15" s="21" t="s">
        <v>20</v>
      </c>
      <c r="F15" s="12">
        <v>6487000</v>
      </c>
      <c r="G15" s="12">
        <v>7367846.0399999991</v>
      </c>
      <c r="H15" s="12">
        <f t="shared" si="1"/>
        <v>-880846.03999999911</v>
      </c>
      <c r="I15" s="13"/>
      <c r="J15" s="12"/>
      <c r="K15" s="12"/>
      <c r="L15" s="12">
        <f t="shared" si="2"/>
        <v>0</v>
      </c>
      <c r="M15" s="12"/>
      <c r="N15" s="12"/>
      <c r="O15" s="12"/>
      <c r="P15" s="12">
        <f t="shared" si="3"/>
        <v>0</v>
      </c>
      <c r="Q15" s="13"/>
      <c r="R15" s="12">
        <f t="shared" si="4"/>
        <v>6487000</v>
      </c>
      <c r="S15" s="12">
        <f t="shared" si="4"/>
        <v>7367846.0399999991</v>
      </c>
      <c r="T15" s="14">
        <f>+R15-S15</f>
        <v>-880846.03999999911</v>
      </c>
      <c r="U15" s="17">
        <f t="shared" si="5"/>
        <v>1.1357863480807768</v>
      </c>
    </row>
    <row r="16" spans="2:21" ht="27" customHeight="1">
      <c r="B16" s="18"/>
      <c r="C16" s="10"/>
      <c r="D16" s="10"/>
      <c r="E16" s="22" t="s">
        <v>21</v>
      </c>
      <c r="F16" s="12">
        <v>1393000</v>
      </c>
      <c r="G16" s="12">
        <v>1428832.4400000002</v>
      </c>
      <c r="H16" s="12">
        <f t="shared" si="1"/>
        <v>-35832.440000000177</v>
      </c>
      <c r="I16" s="13"/>
      <c r="J16" s="12"/>
      <c r="K16" s="12"/>
      <c r="L16" s="12">
        <f t="shared" si="2"/>
        <v>0</v>
      </c>
      <c r="M16" s="12"/>
      <c r="N16" s="12"/>
      <c r="O16" s="12"/>
      <c r="P16" s="12">
        <f t="shared" si="3"/>
        <v>0</v>
      </c>
      <c r="Q16" s="13"/>
      <c r="R16" s="12">
        <f t="shared" si="4"/>
        <v>1393000</v>
      </c>
      <c r="S16" s="12">
        <f t="shared" si="4"/>
        <v>1428832.4400000002</v>
      </c>
      <c r="T16" s="14">
        <f>+R16-S16</f>
        <v>-35832.440000000177</v>
      </c>
      <c r="U16" s="17">
        <f t="shared" si="5"/>
        <v>1.0257232160804022</v>
      </c>
    </row>
    <row r="17" spans="2:21" ht="27" customHeight="1">
      <c r="B17" s="18"/>
      <c r="C17" s="10"/>
      <c r="D17" s="10"/>
      <c r="E17" s="21" t="s">
        <v>22</v>
      </c>
      <c r="F17" s="12">
        <v>14932000</v>
      </c>
      <c r="G17" s="12">
        <v>14955738.560000001</v>
      </c>
      <c r="H17" s="12">
        <f t="shared" si="1"/>
        <v>-23738.560000000522</v>
      </c>
      <c r="I17" s="13"/>
      <c r="J17" s="12"/>
      <c r="K17" s="12"/>
      <c r="L17" s="12">
        <f t="shared" si="2"/>
        <v>0</v>
      </c>
      <c r="M17" s="12"/>
      <c r="N17" s="12">
        <v>326863</v>
      </c>
      <c r="O17" s="12">
        <v>326862.7</v>
      </c>
      <c r="P17" s="12">
        <f t="shared" si="3"/>
        <v>0.29999999998835847</v>
      </c>
      <c r="Q17" s="13"/>
      <c r="R17" s="12">
        <f t="shared" si="4"/>
        <v>15258863</v>
      </c>
      <c r="S17" s="12">
        <f t="shared" si="4"/>
        <v>15282601.26</v>
      </c>
      <c r="T17" s="14">
        <f>+R17-S17</f>
        <v>-23738.259999999776</v>
      </c>
      <c r="U17" s="17">
        <f t="shared" si="5"/>
        <v>1.0015557030690949</v>
      </c>
    </row>
    <row r="18" spans="2:21" ht="24.95" customHeight="1">
      <c r="B18" s="18"/>
      <c r="C18" s="10"/>
      <c r="D18" s="10"/>
      <c r="E18" s="21"/>
      <c r="F18" s="12"/>
      <c r="G18" s="12"/>
      <c r="H18" s="12"/>
      <c r="I18" s="13"/>
      <c r="J18" s="12"/>
      <c r="K18" s="12"/>
      <c r="L18" s="12"/>
      <c r="M18" s="12"/>
      <c r="N18" s="12"/>
      <c r="O18" s="12"/>
      <c r="P18" s="12"/>
      <c r="Q18" s="13"/>
      <c r="R18" s="12"/>
      <c r="S18" s="12"/>
      <c r="T18" s="14"/>
      <c r="U18" s="17"/>
    </row>
    <row r="19" spans="2:21" ht="24.95" customHeight="1">
      <c r="B19" s="18"/>
      <c r="C19" s="20" t="s">
        <v>23</v>
      </c>
      <c r="D19" s="20"/>
      <c r="E19" s="10"/>
      <c r="F19" s="12"/>
      <c r="G19" s="12"/>
      <c r="H19" s="12"/>
      <c r="I19" s="13"/>
      <c r="J19" s="12"/>
      <c r="K19" s="12"/>
      <c r="L19" s="12"/>
      <c r="M19" s="12"/>
      <c r="N19" s="12"/>
      <c r="O19" s="12"/>
      <c r="P19" s="12"/>
      <c r="Q19" s="13"/>
      <c r="R19" s="12"/>
      <c r="S19" s="12"/>
      <c r="T19" s="14"/>
      <c r="U19" s="17"/>
    </row>
    <row r="20" spans="2:21" ht="24.95" customHeight="1">
      <c r="B20" s="18"/>
      <c r="C20" s="20"/>
      <c r="D20" s="20"/>
      <c r="E20" s="10" t="s">
        <v>24</v>
      </c>
      <c r="F20" s="12">
        <v>27592000</v>
      </c>
      <c r="G20" s="12">
        <v>52715535.950000003</v>
      </c>
      <c r="H20" s="12">
        <f>+F20-G20</f>
        <v>-25123535.950000003</v>
      </c>
      <c r="I20" s="13"/>
      <c r="J20" s="12"/>
      <c r="K20" s="12"/>
      <c r="L20" s="12">
        <f>+J20-K20</f>
        <v>0</v>
      </c>
      <c r="M20" s="12"/>
      <c r="N20" s="12">
        <v>66670000</v>
      </c>
      <c r="O20" s="12">
        <v>117869044.56999999</v>
      </c>
      <c r="P20" s="12">
        <f>+N20-O20</f>
        <v>-51199044.569999993</v>
      </c>
      <c r="Q20" s="13"/>
      <c r="R20" s="12">
        <f>+F20+J20+N20</f>
        <v>94262000</v>
      </c>
      <c r="S20" s="12">
        <f>+G20+K20+O20</f>
        <v>170584580.51999998</v>
      </c>
      <c r="T20" s="14">
        <f>+R20-S20</f>
        <v>-76322580.519999981</v>
      </c>
      <c r="U20" s="17">
        <f t="shared" si="5"/>
        <v>1.8096855627930659</v>
      </c>
    </row>
    <row r="21" spans="2:21" ht="28.5" customHeight="1">
      <c r="B21" s="18"/>
      <c r="C21" s="10"/>
      <c r="D21" s="10"/>
      <c r="E21" s="22" t="s">
        <v>25</v>
      </c>
      <c r="F21" s="12">
        <v>25346000</v>
      </c>
      <c r="G21" s="12">
        <v>26328184.100000001</v>
      </c>
      <c r="H21" s="12">
        <f>+F21-G21</f>
        <v>-982184.10000000149</v>
      </c>
      <c r="I21" s="13"/>
      <c r="J21" s="12"/>
      <c r="K21" s="12"/>
      <c r="L21" s="12">
        <f>+J21-K21</f>
        <v>0</v>
      </c>
      <c r="M21" s="12"/>
      <c r="N21" s="12">
        <v>0</v>
      </c>
      <c r="O21" s="12">
        <v>1215341.6000000001</v>
      </c>
      <c r="P21" s="12">
        <f>+N21-O21</f>
        <v>-1215341.6000000001</v>
      </c>
      <c r="Q21" s="13"/>
      <c r="R21" s="12">
        <f>+F21+J21+N21</f>
        <v>25346000</v>
      </c>
      <c r="S21" s="12">
        <f>+G21+K21+O21</f>
        <v>27543525.700000003</v>
      </c>
      <c r="T21" s="14">
        <f>+R21-S21</f>
        <v>-2197525.700000003</v>
      </c>
      <c r="U21" s="17">
        <f t="shared" si="5"/>
        <v>1.0867010849838239</v>
      </c>
    </row>
    <row r="22" spans="2:21" ht="24.95" customHeight="1">
      <c r="B22" s="18"/>
      <c r="C22" s="10"/>
      <c r="D22" s="10"/>
      <c r="E22" s="22"/>
      <c r="F22" s="12"/>
      <c r="G22" s="12"/>
      <c r="H22" s="12"/>
      <c r="I22" s="13"/>
      <c r="J22" s="12"/>
      <c r="K22" s="12"/>
      <c r="L22" s="12"/>
      <c r="M22" s="12"/>
      <c r="N22" s="12"/>
      <c r="O22" s="12"/>
      <c r="P22" s="12"/>
      <c r="Q22" s="13"/>
      <c r="R22" s="12"/>
      <c r="S22" s="12"/>
      <c r="T22" s="14"/>
      <c r="U22" s="17"/>
    </row>
    <row r="23" spans="2:21" ht="24.95" customHeight="1">
      <c r="B23" s="18"/>
      <c r="C23" s="20" t="s">
        <v>26</v>
      </c>
      <c r="D23" s="20"/>
      <c r="E23" s="10"/>
      <c r="F23" s="12"/>
      <c r="G23" s="12"/>
      <c r="H23" s="12"/>
      <c r="I23" s="13"/>
      <c r="J23" s="12"/>
      <c r="K23" s="12"/>
      <c r="L23" s="12"/>
      <c r="M23" s="12"/>
      <c r="N23" s="12"/>
      <c r="O23" s="12"/>
      <c r="P23" s="12"/>
      <c r="Q23" s="13"/>
      <c r="R23" s="12"/>
      <c r="S23" s="12"/>
      <c r="T23" s="14"/>
      <c r="U23" s="17"/>
    </row>
    <row r="24" spans="2:21" ht="24.95" customHeight="1">
      <c r="B24" s="18"/>
      <c r="C24" s="20"/>
      <c r="D24" s="20"/>
      <c r="E24" s="10" t="s">
        <v>27</v>
      </c>
      <c r="F24" s="12">
        <v>56855000</v>
      </c>
      <c r="G24" s="12">
        <v>83063367.109999999</v>
      </c>
      <c r="H24" s="12">
        <f>+F24-G24</f>
        <v>-26208367.109999999</v>
      </c>
      <c r="I24" s="13"/>
      <c r="J24" s="12"/>
      <c r="K24" s="12"/>
      <c r="L24" s="12">
        <f>+J24-K24</f>
        <v>0</v>
      </c>
      <c r="M24" s="12"/>
      <c r="N24" s="12"/>
      <c r="O24" s="12"/>
      <c r="P24" s="12">
        <f>+N24-O24</f>
        <v>0</v>
      </c>
      <c r="Q24" s="13"/>
      <c r="R24" s="12">
        <f t="shared" ref="R24:S26" si="6">+F24+J24+N24</f>
        <v>56855000</v>
      </c>
      <c r="S24" s="12">
        <f t="shared" si="6"/>
        <v>83063367.109999999</v>
      </c>
      <c r="T24" s="14">
        <f>+R24-S24</f>
        <v>-26208367.109999999</v>
      </c>
      <c r="U24" s="17">
        <f t="shared" si="5"/>
        <v>1.4609685535133234</v>
      </c>
    </row>
    <row r="25" spans="2:21" ht="27.75" customHeight="1">
      <c r="B25" s="18"/>
      <c r="C25" s="10"/>
      <c r="D25" s="10"/>
      <c r="E25" s="22" t="s">
        <v>28</v>
      </c>
      <c r="F25" s="12">
        <v>5972000</v>
      </c>
      <c r="G25" s="12">
        <v>9684701.0999999996</v>
      </c>
      <c r="H25" s="12">
        <f>+F25-G25</f>
        <v>-3712701.0999999996</v>
      </c>
      <c r="I25" s="13"/>
      <c r="J25" s="12"/>
      <c r="K25" s="12"/>
      <c r="L25" s="12">
        <f>+J25-K25</f>
        <v>0</v>
      </c>
      <c r="M25" s="12"/>
      <c r="N25" s="12"/>
      <c r="O25" s="12"/>
      <c r="P25" s="12">
        <f>+N25-O25</f>
        <v>0</v>
      </c>
      <c r="Q25" s="13"/>
      <c r="R25" s="12">
        <f t="shared" si="6"/>
        <v>5972000</v>
      </c>
      <c r="S25" s="12">
        <f t="shared" si="6"/>
        <v>9684701.0999999996</v>
      </c>
      <c r="T25" s="14">
        <f>+R25-S25</f>
        <v>-3712701.0999999996</v>
      </c>
      <c r="U25" s="17">
        <f t="shared" si="5"/>
        <v>1.6216847119892832</v>
      </c>
    </row>
    <row r="26" spans="2:21" ht="27.75" customHeight="1">
      <c r="B26" s="18"/>
      <c r="C26" s="10"/>
      <c r="D26" s="10"/>
      <c r="E26" s="22" t="s">
        <v>29</v>
      </c>
      <c r="F26" s="12">
        <v>4023000</v>
      </c>
      <c r="G26" s="12">
        <v>4940086.2300000004</v>
      </c>
      <c r="H26" s="12">
        <f>+F26-G26</f>
        <v>-917086.23000000045</v>
      </c>
      <c r="I26" s="13"/>
      <c r="J26" s="12"/>
      <c r="K26" s="12"/>
      <c r="L26" s="12">
        <f>+J26-K26</f>
        <v>0</v>
      </c>
      <c r="M26" s="12"/>
      <c r="N26" s="12">
        <v>52245000</v>
      </c>
      <c r="O26" s="12">
        <v>31418111.099999994</v>
      </c>
      <c r="P26" s="12">
        <f>+N26-O26</f>
        <v>20826888.900000006</v>
      </c>
      <c r="Q26" s="13"/>
      <c r="R26" s="12">
        <f t="shared" si="6"/>
        <v>56268000</v>
      </c>
      <c r="S26" s="12">
        <f t="shared" si="6"/>
        <v>36358197.329999998</v>
      </c>
      <c r="T26" s="14">
        <f>+R26-S26</f>
        <v>19909802.670000002</v>
      </c>
      <c r="U26" s="17">
        <f t="shared" si="5"/>
        <v>0.64616118095542752</v>
      </c>
    </row>
    <row r="27" spans="2:21" ht="24.95" customHeight="1">
      <c r="B27" s="18"/>
      <c r="C27" s="10"/>
      <c r="D27" s="10"/>
      <c r="E27" s="22"/>
      <c r="F27" s="12"/>
      <c r="G27" s="12"/>
      <c r="H27" s="12"/>
      <c r="I27" s="13"/>
      <c r="J27" s="12"/>
      <c r="K27" s="12"/>
      <c r="L27" s="12"/>
      <c r="M27" s="12"/>
      <c r="N27" s="12"/>
      <c r="O27" s="12"/>
      <c r="P27" s="12"/>
      <c r="Q27" s="13"/>
      <c r="R27" s="12"/>
      <c r="S27" s="12"/>
      <c r="T27" s="14"/>
      <c r="U27" s="17"/>
    </row>
    <row r="28" spans="2:21" ht="24.95" customHeight="1">
      <c r="B28" s="18"/>
      <c r="C28" s="20" t="s">
        <v>30</v>
      </c>
      <c r="D28" s="20"/>
      <c r="E28" s="10"/>
      <c r="F28" s="12"/>
      <c r="G28" s="12"/>
      <c r="H28" s="12"/>
      <c r="I28" s="13"/>
      <c r="J28" s="12"/>
      <c r="K28" s="12"/>
      <c r="L28" s="12"/>
      <c r="M28" s="12"/>
      <c r="N28" s="12"/>
      <c r="O28" s="12"/>
      <c r="P28" s="12"/>
      <c r="Q28" s="13"/>
      <c r="R28" s="12"/>
      <c r="S28" s="12"/>
      <c r="T28" s="14"/>
      <c r="U28" s="17"/>
    </row>
    <row r="29" spans="2:21" ht="24.95" customHeight="1">
      <c r="B29" s="18"/>
      <c r="C29" s="20"/>
      <c r="D29" s="20"/>
      <c r="E29" s="10" t="s">
        <v>31</v>
      </c>
      <c r="F29" s="23">
        <v>25566000</v>
      </c>
      <c r="G29" s="23">
        <v>29848702.449999999</v>
      </c>
      <c r="H29" s="12">
        <f>+F29-G29</f>
        <v>-4282702.4499999993</v>
      </c>
      <c r="I29" s="13"/>
      <c r="J29" s="23">
        <v>70000000</v>
      </c>
      <c r="K29" s="23">
        <v>71663174.349999994</v>
      </c>
      <c r="L29" s="12">
        <f>+J29-K29</f>
        <v>-1663174.349999994</v>
      </c>
      <c r="M29" s="12"/>
      <c r="N29" s="23">
        <v>14464887</v>
      </c>
      <c r="O29" s="23">
        <v>15281024.93</v>
      </c>
      <c r="P29" s="12">
        <f>+N29-O29</f>
        <v>-816137.9299999997</v>
      </c>
      <c r="Q29" s="13"/>
      <c r="R29" s="12">
        <f t="shared" ref="R29:S32" si="7">+F29+J29+N29</f>
        <v>110030887</v>
      </c>
      <c r="S29" s="12">
        <f t="shared" si="7"/>
        <v>116792901.72999999</v>
      </c>
      <c r="T29" s="14">
        <f>+R29-S29</f>
        <v>-6762014.7299999893</v>
      </c>
      <c r="U29" s="17">
        <f t="shared" si="5"/>
        <v>1.0614556050066195</v>
      </c>
    </row>
    <row r="30" spans="2:21" ht="28.5" customHeight="1">
      <c r="B30" s="18"/>
      <c r="C30" s="10"/>
      <c r="D30" s="10"/>
      <c r="E30" s="22" t="s">
        <v>32</v>
      </c>
      <c r="F30" s="12">
        <v>68529826</v>
      </c>
      <c r="G30" s="12">
        <v>68529906.329999998</v>
      </c>
      <c r="H30" s="12">
        <f>+F30-G30</f>
        <v>-80.329999998211861</v>
      </c>
      <c r="I30" s="13"/>
      <c r="J30" s="12"/>
      <c r="K30" s="12"/>
      <c r="L30" s="12">
        <f>+J30-K30</f>
        <v>0</v>
      </c>
      <c r="M30" s="12"/>
      <c r="N30" s="12"/>
      <c r="O30" s="12"/>
      <c r="P30" s="12">
        <f>+N30-O30</f>
        <v>0</v>
      </c>
      <c r="Q30" s="13"/>
      <c r="R30" s="12">
        <f t="shared" si="7"/>
        <v>68529826</v>
      </c>
      <c r="S30" s="12">
        <f t="shared" si="7"/>
        <v>68529906.329999998</v>
      </c>
      <c r="T30" s="14">
        <f>+R30-S30</f>
        <v>-80.329999998211861</v>
      </c>
      <c r="U30" s="17">
        <f t="shared" si="5"/>
        <v>1.0000011721903395</v>
      </c>
    </row>
    <row r="31" spans="2:21" ht="28.5" customHeight="1">
      <c r="B31" s="18"/>
      <c r="C31" s="10"/>
      <c r="D31" s="10"/>
      <c r="E31" s="22" t="s">
        <v>33</v>
      </c>
      <c r="F31" s="12">
        <v>34300000</v>
      </c>
      <c r="G31" s="12">
        <v>34612904.07</v>
      </c>
      <c r="H31" s="12">
        <f>+F31-G31</f>
        <v>-312904.0700000003</v>
      </c>
      <c r="I31" s="13"/>
      <c r="J31" s="12"/>
      <c r="K31" s="12"/>
      <c r="L31" s="12">
        <f>+J31-K31</f>
        <v>0</v>
      </c>
      <c r="M31" s="12"/>
      <c r="N31" s="12"/>
      <c r="O31" s="12"/>
      <c r="P31" s="12">
        <f>+N31-O31</f>
        <v>0</v>
      </c>
      <c r="Q31" s="13"/>
      <c r="R31" s="12">
        <f t="shared" si="7"/>
        <v>34300000</v>
      </c>
      <c r="S31" s="12">
        <f t="shared" si="7"/>
        <v>34612904.07</v>
      </c>
      <c r="T31" s="14">
        <f>+R31-S31</f>
        <v>-312904.0700000003</v>
      </c>
      <c r="U31" s="17">
        <f t="shared" si="5"/>
        <v>1.0091225676384841</v>
      </c>
    </row>
    <row r="32" spans="2:21" ht="28.5" customHeight="1">
      <c r="B32" s="18"/>
      <c r="C32" s="10"/>
      <c r="D32" s="10"/>
      <c r="E32" s="22" t="s">
        <v>34</v>
      </c>
      <c r="F32" s="12">
        <v>5356000</v>
      </c>
      <c r="G32" s="12">
        <v>5380059</v>
      </c>
      <c r="H32" s="12">
        <f>+F32-G32</f>
        <v>-24059</v>
      </c>
      <c r="I32" s="13"/>
      <c r="J32" s="12"/>
      <c r="K32" s="12"/>
      <c r="L32" s="12">
        <f>+J32-K32</f>
        <v>0</v>
      </c>
      <c r="M32" s="12"/>
      <c r="N32" s="12">
        <v>665359</v>
      </c>
      <c r="O32" s="12">
        <v>665358.9</v>
      </c>
      <c r="P32" s="12">
        <f>+N32-O32</f>
        <v>9.9999999976716936E-2</v>
      </c>
      <c r="Q32" s="13"/>
      <c r="R32" s="12">
        <f t="shared" si="7"/>
        <v>6021359</v>
      </c>
      <c r="S32" s="12">
        <f t="shared" si="7"/>
        <v>6045417.9000000004</v>
      </c>
      <c r="T32" s="14">
        <f>+R32-S32</f>
        <v>-24058.900000000373</v>
      </c>
      <c r="U32" s="17">
        <f t="shared" si="5"/>
        <v>1.0039955930214426</v>
      </c>
    </row>
    <row r="33" spans="2:23" ht="27.75" customHeight="1">
      <c r="B33" s="18"/>
      <c r="C33" s="10"/>
      <c r="D33" s="10"/>
      <c r="E33" s="22"/>
      <c r="F33" s="12"/>
      <c r="G33" s="12"/>
      <c r="H33" s="12"/>
      <c r="I33" s="13"/>
      <c r="J33" s="12"/>
      <c r="K33" s="12"/>
      <c r="L33" s="12"/>
      <c r="M33" s="12"/>
      <c r="N33" s="12"/>
      <c r="O33" s="12"/>
      <c r="P33" s="12"/>
      <c r="Q33" s="13"/>
      <c r="R33" s="12"/>
      <c r="S33" s="12"/>
      <c r="T33" s="14"/>
      <c r="U33" s="17"/>
    </row>
    <row r="34" spans="2:23" ht="24.95" customHeight="1">
      <c r="B34" s="18"/>
      <c r="C34" s="24" t="s">
        <v>35</v>
      </c>
      <c r="D34" s="10"/>
      <c r="E34" s="22"/>
      <c r="F34" s="12"/>
      <c r="G34" s="12"/>
      <c r="H34" s="12"/>
      <c r="I34" s="13"/>
      <c r="J34" s="12"/>
      <c r="K34" s="12"/>
      <c r="L34" s="12"/>
      <c r="M34" s="12"/>
      <c r="N34" s="12"/>
      <c r="O34" s="12"/>
      <c r="P34" s="12"/>
      <c r="Q34" s="13"/>
      <c r="R34" s="12"/>
      <c r="S34" s="12"/>
      <c r="T34" s="14"/>
      <c r="U34" s="17"/>
    </row>
    <row r="35" spans="2:23" ht="24.95" customHeight="1">
      <c r="B35" s="18"/>
      <c r="C35" s="10"/>
      <c r="D35" s="25" t="s">
        <v>36</v>
      </c>
      <c r="E35" s="26"/>
      <c r="F35" s="12">
        <v>15161000</v>
      </c>
      <c r="G35" s="12">
        <v>24881612.84</v>
      </c>
      <c r="H35" s="12">
        <f>+F35-G35</f>
        <v>-9720612.8399999999</v>
      </c>
      <c r="I35" s="13"/>
      <c r="J35" s="12"/>
      <c r="K35" s="12"/>
      <c r="L35" s="12">
        <f>+J35-K35</f>
        <v>0</v>
      </c>
      <c r="M35" s="12"/>
      <c r="N35" s="12"/>
      <c r="O35" s="12">
        <v>576516.9</v>
      </c>
      <c r="P35" s="12">
        <f>+N35-O35</f>
        <v>-576516.9</v>
      </c>
      <c r="Q35" s="13"/>
      <c r="R35" s="12">
        <f t="shared" ref="R35:S46" si="8">+F35+J35+N35</f>
        <v>15161000</v>
      </c>
      <c r="S35" s="12">
        <f t="shared" si="8"/>
        <v>25458129.739999998</v>
      </c>
      <c r="T35" s="14">
        <f>+R35-S35</f>
        <v>-10297129.739999998</v>
      </c>
      <c r="U35" s="17">
        <f t="shared" si="5"/>
        <v>1.6791853927841169</v>
      </c>
    </row>
    <row r="36" spans="2:23" ht="24.95" customHeight="1">
      <c r="B36" s="18"/>
      <c r="C36" s="10"/>
      <c r="D36" s="27" t="s">
        <v>37</v>
      </c>
      <c r="E36" s="22"/>
      <c r="F36" s="12">
        <v>74115705.670000002</v>
      </c>
      <c r="G36" s="12">
        <v>74113002.989999995</v>
      </c>
      <c r="H36" s="12">
        <f>+F36-G36</f>
        <v>2702.6800000071526</v>
      </c>
      <c r="I36" s="13"/>
      <c r="J36" s="12"/>
      <c r="K36" s="12"/>
      <c r="L36" s="12">
        <f>+J36-K36</f>
        <v>0</v>
      </c>
      <c r="M36" s="12"/>
      <c r="N36" s="12"/>
      <c r="O36" s="12"/>
      <c r="P36" s="12">
        <f>+N36-O36</f>
        <v>0</v>
      </c>
      <c r="Q36" s="13"/>
      <c r="R36" s="12">
        <f t="shared" si="8"/>
        <v>74115705.670000002</v>
      </c>
      <c r="S36" s="12">
        <f t="shared" si="8"/>
        <v>74113002.989999995</v>
      </c>
      <c r="T36" s="14">
        <f>+R36-S36</f>
        <v>2702.6800000071526</v>
      </c>
      <c r="U36" s="17">
        <f t="shared" si="5"/>
        <v>0.99996353431468299</v>
      </c>
    </row>
    <row r="37" spans="2:23" ht="24.95" customHeight="1">
      <c r="B37" s="18"/>
      <c r="C37" s="10"/>
      <c r="D37" s="28" t="s">
        <v>38</v>
      </c>
      <c r="E37" s="22"/>
      <c r="F37" s="12">
        <v>55766720.48999998</v>
      </c>
      <c r="G37" s="12">
        <v>43593149.68</v>
      </c>
      <c r="H37" s="12">
        <f>+F37-G37</f>
        <v>12173570.80999998</v>
      </c>
      <c r="I37" s="13"/>
      <c r="J37" s="12"/>
      <c r="K37" s="12"/>
      <c r="L37" s="12">
        <f>+J37-K37</f>
        <v>0</v>
      </c>
      <c r="M37" s="12"/>
      <c r="N37" s="12"/>
      <c r="O37" s="12"/>
      <c r="P37" s="12">
        <f>+N37-O37</f>
        <v>0</v>
      </c>
      <c r="Q37" s="13"/>
      <c r="R37" s="12">
        <f t="shared" si="8"/>
        <v>55766720.48999998</v>
      </c>
      <c r="S37" s="12">
        <f t="shared" si="8"/>
        <v>43593149.68</v>
      </c>
      <c r="T37" s="14">
        <f>+R37-S37</f>
        <v>12173570.80999998</v>
      </c>
      <c r="U37" s="17">
        <f t="shared" si="5"/>
        <v>0.78170545617465659</v>
      </c>
    </row>
    <row r="38" spans="2:23" ht="24.95" customHeight="1">
      <c r="B38" s="18"/>
      <c r="C38" s="10"/>
      <c r="D38" s="28" t="s">
        <v>39</v>
      </c>
      <c r="E38" s="22"/>
      <c r="F38" s="12">
        <v>106606836.48</v>
      </c>
      <c r="G38" s="12">
        <v>90856920.709999993</v>
      </c>
      <c r="H38" s="12">
        <f>+F38-G38</f>
        <v>15749915.770000011</v>
      </c>
      <c r="I38" s="13"/>
      <c r="J38" s="12"/>
      <c r="K38" s="12"/>
      <c r="L38" s="12">
        <f>+J38-K38</f>
        <v>0</v>
      </c>
      <c r="M38" s="12"/>
      <c r="N38" s="12">
        <v>317077</v>
      </c>
      <c r="O38" s="12">
        <v>739408.87</v>
      </c>
      <c r="P38" s="12">
        <f>+N38-O38</f>
        <v>-422331.87</v>
      </c>
      <c r="Q38" s="13"/>
      <c r="R38" s="12">
        <f t="shared" si="8"/>
        <v>106923913.48</v>
      </c>
      <c r="S38" s="12">
        <f t="shared" si="8"/>
        <v>91596329.579999998</v>
      </c>
      <c r="T38" s="14">
        <f>+R38-S38</f>
        <v>15327583.900000006</v>
      </c>
      <c r="U38" s="17">
        <f t="shared" si="5"/>
        <v>0.856649617460298</v>
      </c>
    </row>
    <row r="39" spans="2:23" ht="24.95" customHeight="1">
      <c r="B39" s="18"/>
      <c r="C39" s="10"/>
      <c r="D39" s="28" t="s">
        <v>40</v>
      </c>
      <c r="E39" s="22"/>
      <c r="F39" s="12">
        <v>94586000</v>
      </c>
      <c r="G39" s="12">
        <v>53253599.469999999</v>
      </c>
      <c r="H39" s="12">
        <f t="shared" ref="H39:H44" si="9">+F39-G39</f>
        <v>41332400.530000001</v>
      </c>
      <c r="I39" s="13"/>
      <c r="J39" s="12"/>
      <c r="K39" s="12"/>
      <c r="L39" s="12">
        <f t="shared" ref="L39:L44" si="10">+J39-K39</f>
        <v>0</v>
      </c>
      <c r="M39" s="12"/>
      <c r="N39" s="12"/>
      <c r="O39" s="12"/>
      <c r="P39" s="12">
        <f t="shared" ref="P39:P44" si="11">+N39-O39</f>
        <v>0</v>
      </c>
      <c r="Q39" s="13"/>
      <c r="R39" s="12">
        <f t="shared" si="8"/>
        <v>94586000</v>
      </c>
      <c r="S39" s="12">
        <f t="shared" si="8"/>
        <v>53253599.469999999</v>
      </c>
      <c r="T39" s="14">
        <f t="shared" ref="T39:T46" si="12">+R39-S39</f>
        <v>41332400.530000001</v>
      </c>
      <c r="U39" s="17">
        <f t="shared" si="5"/>
        <v>0.56301777715518153</v>
      </c>
    </row>
    <row r="40" spans="2:23" ht="24.95" customHeight="1">
      <c r="B40" s="18"/>
      <c r="C40" s="10"/>
      <c r="D40" s="28" t="s">
        <v>41</v>
      </c>
      <c r="E40" s="22"/>
      <c r="F40" s="12">
        <v>17951000</v>
      </c>
      <c r="G40" s="12">
        <v>17962054.879999999</v>
      </c>
      <c r="H40" s="12">
        <f t="shared" si="9"/>
        <v>-11054.879999998957</v>
      </c>
      <c r="I40" s="13"/>
      <c r="J40" s="12"/>
      <c r="K40" s="12"/>
      <c r="L40" s="12">
        <f t="shared" si="10"/>
        <v>0</v>
      </c>
      <c r="M40" s="12"/>
      <c r="N40" s="12"/>
      <c r="O40" s="12"/>
      <c r="P40" s="12">
        <f t="shared" si="11"/>
        <v>0</v>
      </c>
      <c r="Q40" s="13"/>
      <c r="R40" s="12">
        <f t="shared" si="8"/>
        <v>17951000</v>
      </c>
      <c r="S40" s="12">
        <f t="shared" si="8"/>
        <v>17962054.879999999</v>
      </c>
      <c r="T40" s="14">
        <f t="shared" si="12"/>
        <v>-11054.879999998957</v>
      </c>
      <c r="U40" s="17">
        <f t="shared" si="5"/>
        <v>1.0006158364436522</v>
      </c>
    </row>
    <row r="41" spans="2:23" ht="24.95" customHeight="1">
      <c r="B41" s="18"/>
      <c r="C41" s="10"/>
      <c r="D41" s="28" t="s">
        <v>42</v>
      </c>
      <c r="E41" s="22"/>
      <c r="F41" s="12">
        <v>39225000</v>
      </c>
      <c r="G41" s="12">
        <v>51472899.020000003</v>
      </c>
      <c r="H41" s="12">
        <f t="shared" si="9"/>
        <v>-12247899.020000003</v>
      </c>
      <c r="I41" s="13"/>
      <c r="J41" s="12"/>
      <c r="K41" s="12"/>
      <c r="L41" s="12">
        <f t="shared" si="10"/>
        <v>0</v>
      </c>
      <c r="M41" s="12"/>
      <c r="N41" s="12">
        <v>2107796</v>
      </c>
      <c r="O41" s="12">
        <v>1543982.88</v>
      </c>
      <c r="P41" s="12">
        <f t="shared" si="11"/>
        <v>563813.12000000011</v>
      </c>
      <c r="Q41" s="13"/>
      <c r="R41" s="12">
        <f t="shared" si="8"/>
        <v>41332796</v>
      </c>
      <c r="S41" s="12">
        <f t="shared" si="8"/>
        <v>53016881.900000006</v>
      </c>
      <c r="T41" s="14">
        <f t="shared" si="12"/>
        <v>-11684085.900000006</v>
      </c>
      <c r="U41" s="17">
        <f t="shared" si="5"/>
        <v>1.2826831724618872</v>
      </c>
    </row>
    <row r="42" spans="2:23" ht="24.95" customHeight="1">
      <c r="B42" s="18"/>
      <c r="C42" s="10"/>
      <c r="D42" s="25" t="s">
        <v>43</v>
      </c>
      <c r="E42" s="22"/>
      <c r="F42" s="12">
        <v>34741000</v>
      </c>
      <c r="G42" s="12">
        <v>40907246.780000001</v>
      </c>
      <c r="H42" s="12">
        <f t="shared" si="9"/>
        <v>-6166246.7800000012</v>
      </c>
      <c r="I42" s="13">
        <v>2208000</v>
      </c>
      <c r="J42" s="12"/>
      <c r="K42" s="12"/>
      <c r="L42" s="12">
        <f t="shared" si="10"/>
        <v>0</v>
      </c>
      <c r="M42" s="12"/>
      <c r="N42" s="12"/>
      <c r="O42" s="12"/>
      <c r="P42" s="12">
        <f t="shared" si="11"/>
        <v>0</v>
      </c>
      <c r="Q42" s="13"/>
      <c r="R42" s="12">
        <f t="shared" si="8"/>
        <v>34741000</v>
      </c>
      <c r="S42" s="12">
        <f t="shared" si="8"/>
        <v>40907246.780000001</v>
      </c>
      <c r="T42" s="14">
        <f t="shared" si="12"/>
        <v>-6166246.7800000012</v>
      </c>
      <c r="U42" s="17">
        <f t="shared" si="5"/>
        <v>1.177491919633862</v>
      </c>
    </row>
    <row r="43" spans="2:23" ht="24.95" customHeight="1">
      <c r="B43" s="18"/>
      <c r="C43" s="10"/>
      <c r="D43" s="27" t="s">
        <v>44</v>
      </c>
      <c r="E43" s="22"/>
      <c r="F43" s="12">
        <v>38256500</v>
      </c>
      <c r="G43" s="12">
        <v>38294143.07</v>
      </c>
      <c r="H43" s="12">
        <f t="shared" si="9"/>
        <v>-37643.070000000298</v>
      </c>
      <c r="I43" s="13"/>
      <c r="J43" s="12"/>
      <c r="K43" s="12"/>
      <c r="L43" s="12">
        <f t="shared" si="10"/>
        <v>0</v>
      </c>
      <c r="M43" s="12"/>
      <c r="N43" s="12"/>
      <c r="O43" s="12"/>
      <c r="P43" s="12">
        <f t="shared" si="11"/>
        <v>0</v>
      </c>
      <c r="Q43" s="13"/>
      <c r="R43" s="12">
        <f t="shared" si="8"/>
        <v>38256500</v>
      </c>
      <c r="S43" s="12">
        <f t="shared" si="8"/>
        <v>38294143.07</v>
      </c>
      <c r="T43" s="14">
        <f t="shared" si="12"/>
        <v>-37643.070000000298</v>
      </c>
      <c r="U43" s="17">
        <f t="shared" si="5"/>
        <v>1.0009839653392234</v>
      </c>
    </row>
    <row r="44" spans="2:23" ht="24.95" customHeight="1">
      <c r="B44" s="18"/>
      <c r="C44" s="10"/>
      <c r="D44" s="28" t="s">
        <v>45</v>
      </c>
      <c r="E44" s="22"/>
      <c r="F44" s="12">
        <v>45477000</v>
      </c>
      <c r="G44" s="12">
        <v>32829264.129999999</v>
      </c>
      <c r="H44" s="12">
        <f t="shared" si="9"/>
        <v>12647735.870000001</v>
      </c>
      <c r="I44" s="13"/>
      <c r="J44" s="12"/>
      <c r="K44" s="12"/>
      <c r="L44" s="12">
        <f t="shared" si="10"/>
        <v>0</v>
      </c>
      <c r="M44" s="12"/>
      <c r="N44" s="12">
        <v>575991</v>
      </c>
      <c r="O44" s="12">
        <v>9558986.8000000007</v>
      </c>
      <c r="P44" s="12">
        <f t="shared" si="11"/>
        <v>-8982995.8000000007</v>
      </c>
      <c r="Q44" s="13"/>
      <c r="R44" s="12">
        <f t="shared" si="8"/>
        <v>46052991</v>
      </c>
      <c r="S44" s="12">
        <f t="shared" si="8"/>
        <v>42388250.93</v>
      </c>
      <c r="T44" s="14">
        <f t="shared" si="12"/>
        <v>3664740.0700000003</v>
      </c>
      <c r="U44" s="17">
        <f t="shared" si="5"/>
        <v>0.92042340811262402</v>
      </c>
    </row>
    <row r="45" spans="2:23" ht="24.95" customHeight="1">
      <c r="B45" s="18"/>
      <c r="C45" s="10"/>
      <c r="D45" s="29" t="s">
        <v>46</v>
      </c>
      <c r="E45" s="22"/>
      <c r="F45" s="12">
        <v>54529000</v>
      </c>
      <c r="G45" s="12">
        <v>55355399.759999998</v>
      </c>
      <c r="H45" s="12">
        <f>+F45-G45</f>
        <v>-826399.75999999791</v>
      </c>
      <c r="I45" s="13"/>
      <c r="J45" s="12"/>
      <c r="K45" s="12"/>
      <c r="L45" s="12">
        <f>+J45-K45</f>
        <v>0</v>
      </c>
      <c r="M45" s="12"/>
      <c r="N45" s="12">
        <f>27694+375645+107130</f>
        <v>510469</v>
      </c>
      <c r="O45" s="12">
        <f>12129.66+279037.3+171966.8</f>
        <v>463133.75999999995</v>
      </c>
      <c r="P45" s="12">
        <f>+N45-O45</f>
        <v>47335.240000000049</v>
      </c>
      <c r="Q45" s="13"/>
      <c r="R45" s="12">
        <f>+F45+J45+N45</f>
        <v>55039469</v>
      </c>
      <c r="S45" s="12">
        <f t="shared" si="8"/>
        <v>55818533.519999996</v>
      </c>
      <c r="T45" s="14">
        <f t="shared" si="12"/>
        <v>-779064.51999999583</v>
      </c>
      <c r="U45" s="17">
        <f t="shared" si="5"/>
        <v>1.0141546518190427</v>
      </c>
      <c r="W45" s="30"/>
    </row>
    <row r="46" spans="2:23" ht="24.95" customHeight="1">
      <c r="B46" s="18"/>
      <c r="C46" s="10"/>
      <c r="D46" s="25" t="s">
        <v>47</v>
      </c>
      <c r="E46" s="22"/>
      <c r="F46" s="12">
        <v>35808500</v>
      </c>
      <c r="G46" s="12">
        <v>29752468.559999999</v>
      </c>
      <c r="H46" s="12">
        <f>+F46-G46</f>
        <v>6056031.4400000013</v>
      </c>
      <c r="I46" s="13"/>
      <c r="J46" s="12"/>
      <c r="K46" s="12"/>
      <c r="L46" s="12">
        <f>+J46-K46</f>
        <v>0</v>
      </c>
      <c r="M46" s="12"/>
      <c r="N46" s="12"/>
      <c r="O46" s="12"/>
      <c r="P46" s="12">
        <f>+N46-O46</f>
        <v>0</v>
      </c>
      <c r="Q46" s="13"/>
      <c r="R46" s="12">
        <f>+F46+J46+N46</f>
        <v>35808500</v>
      </c>
      <c r="S46" s="12">
        <f t="shared" si="8"/>
        <v>29752468.559999999</v>
      </c>
      <c r="T46" s="14">
        <f t="shared" si="12"/>
        <v>6056031.4400000013</v>
      </c>
      <c r="U46" s="17">
        <f t="shared" si="5"/>
        <v>0.83087726545373297</v>
      </c>
    </row>
    <row r="47" spans="2:23" ht="27.75" customHeight="1">
      <c r="B47" s="18"/>
      <c r="C47" s="10"/>
      <c r="D47" s="10"/>
      <c r="E47" s="22"/>
      <c r="F47" s="12"/>
      <c r="G47" s="12"/>
      <c r="H47" s="12"/>
      <c r="I47" s="13"/>
      <c r="J47" s="12"/>
      <c r="K47" s="12"/>
      <c r="L47" s="12"/>
      <c r="M47" s="12"/>
      <c r="N47" s="12"/>
      <c r="O47" s="12"/>
      <c r="P47" s="12"/>
      <c r="Q47" s="13"/>
      <c r="R47" s="12"/>
      <c r="S47" s="12"/>
      <c r="T47" s="14"/>
      <c r="U47" s="17"/>
    </row>
    <row r="48" spans="2:23" ht="24.95" customHeight="1">
      <c r="B48" s="18"/>
      <c r="C48" s="24" t="s">
        <v>48</v>
      </c>
      <c r="D48" s="10"/>
      <c r="E48" s="22"/>
      <c r="F48" s="12"/>
      <c r="G48" s="12"/>
      <c r="H48" s="12"/>
      <c r="I48" s="13"/>
      <c r="J48" s="12"/>
      <c r="K48" s="12"/>
      <c r="L48" s="12"/>
      <c r="M48" s="12"/>
      <c r="N48" s="12"/>
      <c r="O48" s="12"/>
      <c r="P48" s="12"/>
      <c r="Q48" s="13"/>
      <c r="R48" s="12"/>
      <c r="S48" s="12"/>
      <c r="T48" s="14"/>
      <c r="U48" s="17"/>
    </row>
    <row r="49" spans="2:21" ht="24.95" customHeight="1">
      <c r="B49" s="18"/>
      <c r="C49" s="10"/>
      <c r="D49" s="10"/>
      <c r="E49" s="10" t="s">
        <v>49</v>
      </c>
      <c r="F49" s="12">
        <v>11825000</v>
      </c>
      <c r="G49" s="12">
        <v>11824806.1</v>
      </c>
      <c r="H49" s="12">
        <f>+F49-G49</f>
        <v>193.90000000037253</v>
      </c>
      <c r="I49" s="13"/>
      <c r="J49" s="12"/>
      <c r="K49" s="12"/>
      <c r="L49" s="12">
        <f>+J49-K49</f>
        <v>0</v>
      </c>
      <c r="M49" s="12"/>
      <c r="N49" s="12"/>
      <c r="O49" s="12"/>
      <c r="P49" s="12">
        <f>+N49-O49</f>
        <v>0</v>
      </c>
      <c r="Q49" s="13"/>
      <c r="R49" s="12">
        <f>+F49+J49+N49</f>
        <v>11825000</v>
      </c>
      <c r="S49" s="12">
        <f>+G49+K49+O49</f>
        <v>11824806.1</v>
      </c>
      <c r="T49" s="14">
        <f>+R49-S49</f>
        <v>193.90000000037253</v>
      </c>
      <c r="U49" s="17">
        <f t="shared" si="5"/>
        <v>0.99998360253699781</v>
      </c>
    </row>
    <row r="50" spans="2:21" ht="24.95" customHeight="1">
      <c r="B50" s="18"/>
      <c r="C50" s="10"/>
      <c r="D50" s="10"/>
      <c r="E50" s="10" t="s">
        <v>50</v>
      </c>
      <c r="F50" s="12">
        <v>39720000</v>
      </c>
      <c r="G50" s="12">
        <v>22928499.969999999</v>
      </c>
      <c r="H50" s="12">
        <f>+F50-G50</f>
        <v>16791500.030000001</v>
      </c>
      <c r="I50" s="13"/>
      <c r="J50" s="12"/>
      <c r="K50" s="12"/>
      <c r="L50" s="12">
        <f>+J50-K50</f>
        <v>0</v>
      </c>
      <c r="M50" s="12"/>
      <c r="N50" s="12"/>
      <c r="O50" s="12"/>
      <c r="P50" s="12">
        <f>+N50-O50</f>
        <v>0</v>
      </c>
      <c r="Q50" s="13"/>
      <c r="R50" s="12">
        <f>+F50+J50+N50</f>
        <v>39720000</v>
      </c>
      <c r="S50" s="12">
        <f>+G50+K50+O50</f>
        <v>22928499.969999999</v>
      </c>
      <c r="T50" s="14">
        <f>+R50-S50</f>
        <v>16791500.030000001</v>
      </c>
      <c r="U50" s="17">
        <f t="shared" si="5"/>
        <v>0.57725327215508559</v>
      </c>
    </row>
    <row r="51" spans="2:21" ht="27.75" customHeight="1">
      <c r="B51" s="18"/>
      <c r="C51" s="10"/>
      <c r="D51" s="10"/>
      <c r="E51" s="31" t="s">
        <v>51</v>
      </c>
      <c r="F51" s="32">
        <f t="shared" ref="F51:T51" si="13">SUM(F13:F48)</f>
        <v>920351088.63999999</v>
      </c>
      <c r="G51" s="32">
        <f t="shared" si="13"/>
        <v>938996503.41999996</v>
      </c>
      <c r="H51" s="32">
        <f t="shared" si="13"/>
        <v>-18645414.780000016</v>
      </c>
      <c r="I51" s="32">
        <f t="shared" si="13"/>
        <v>2208000</v>
      </c>
      <c r="J51" s="32">
        <f>SUM(J13:J48)</f>
        <v>70000000</v>
      </c>
      <c r="K51" s="32">
        <f>SUM(K13:K48)</f>
        <v>71663174.349999994</v>
      </c>
      <c r="L51" s="32">
        <f>SUM(L13:L48)</f>
        <v>-1663174.349999994</v>
      </c>
      <c r="M51" s="32">
        <f t="shared" si="13"/>
        <v>0</v>
      </c>
      <c r="N51" s="32">
        <f>SUM(N13:N48)</f>
        <v>137883442</v>
      </c>
      <c r="O51" s="32">
        <f>SUM(O13:O48)</f>
        <v>179657773.00999999</v>
      </c>
      <c r="P51" s="32">
        <f>SUM(P13:P48)</f>
        <v>-41774331.009999983</v>
      </c>
      <c r="Q51" s="32">
        <f t="shared" si="13"/>
        <v>0</v>
      </c>
      <c r="R51" s="32">
        <f t="shared" si="13"/>
        <v>1128234530.6399999</v>
      </c>
      <c r="S51" s="32">
        <f t="shared" si="13"/>
        <v>1190317450.78</v>
      </c>
      <c r="T51" s="32">
        <f t="shared" si="13"/>
        <v>-62082920.139999971</v>
      </c>
      <c r="U51" s="17">
        <f t="shared" si="5"/>
        <v>1.0550266087892055</v>
      </c>
    </row>
    <row r="52" spans="2:21" ht="27.75" customHeight="1">
      <c r="B52" s="18"/>
      <c r="C52" s="10"/>
      <c r="D52" s="10"/>
      <c r="E52" s="31"/>
      <c r="F52" s="32"/>
      <c r="G52" s="32"/>
      <c r="H52" s="32"/>
      <c r="I52" s="33"/>
      <c r="J52" s="32"/>
      <c r="K52" s="32"/>
      <c r="L52" s="32"/>
      <c r="M52" s="32"/>
      <c r="N52" s="32"/>
      <c r="O52" s="32"/>
      <c r="P52" s="32"/>
      <c r="Q52" s="33"/>
      <c r="R52" s="32"/>
      <c r="S52" s="32"/>
      <c r="T52" s="34"/>
      <c r="U52" s="17"/>
    </row>
    <row r="53" spans="2:21" ht="24.95" customHeight="1">
      <c r="B53" s="18"/>
      <c r="C53" s="24" t="s">
        <v>52</v>
      </c>
      <c r="D53" s="10"/>
      <c r="E53" s="22"/>
      <c r="F53" s="12">
        <f>SUM(F55:F80)</f>
        <v>380294946</v>
      </c>
      <c r="G53" s="12">
        <f t="shared" ref="G53:T53" si="14">SUM(G55:G80)</f>
        <v>359689939.93000001</v>
      </c>
      <c r="H53" s="12">
        <f t="shared" si="14"/>
        <v>20605006.069999997</v>
      </c>
      <c r="I53" s="12">
        <f t="shared" si="14"/>
        <v>0</v>
      </c>
      <c r="J53" s="12">
        <f>SUM(J55:J80)</f>
        <v>18845784</v>
      </c>
      <c r="K53" s="12">
        <f>SUM(K55:K80)</f>
        <v>44667876</v>
      </c>
      <c r="L53" s="12">
        <f>SUM(L55:L80)</f>
        <v>-25822092</v>
      </c>
      <c r="M53" s="12">
        <f t="shared" si="14"/>
        <v>0</v>
      </c>
      <c r="N53" s="12">
        <f>SUM(N55:N80)</f>
        <v>60831210.269999996</v>
      </c>
      <c r="O53" s="12">
        <f>SUM(O55:O80)</f>
        <v>68307571.609999999</v>
      </c>
      <c r="P53" s="12">
        <f>SUM(P55:P80)</f>
        <v>-7476361.3400000017</v>
      </c>
      <c r="Q53" s="12">
        <f t="shared" si="14"/>
        <v>0</v>
      </c>
      <c r="R53" s="12">
        <f t="shared" si="14"/>
        <v>459971940.26999998</v>
      </c>
      <c r="S53" s="12">
        <f t="shared" si="14"/>
        <v>472665387.53999996</v>
      </c>
      <c r="T53" s="14">
        <f t="shared" si="14"/>
        <v>-12693447.269999992</v>
      </c>
      <c r="U53" s="17">
        <f>+S53/R53</f>
        <v>1.0275961339349289</v>
      </c>
    </row>
    <row r="54" spans="2:21" ht="24.95" customHeight="1">
      <c r="B54" s="18"/>
      <c r="C54" s="20" t="s">
        <v>53</v>
      </c>
      <c r="D54" s="20"/>
      <c r="E54" s="10"/>
      <c r="F54" s="12"/>
      <c r="G54" s="12"/>
      <c r="H54" s="12">
        <f t="shared" ref="H54:H59" si="15">+F54-G54</f>
        <v>0</v>
      </c>
      <c r="I54" s="13"/>
      <c r="J54" s="12"/>
      <c r="K54" s="12"/>
      <c r="L54" s="12">
        <f t="shared" ref="L54:L59" si="16">+J54-K54</f>
        <v>0</v>
      </c>
      <c r="M54" s="12"/>
      <c r="N54" s="12"/>
      <c r="O54" s="12"/>
      <c r="P54" s="12">
        <f t="shared" ref="P54:P59" si="17">+N54-O54</f>
        <v>0</v>
      </c>
      <c r="Q54" s="13"/>
      <c r="R54" s="12"/>
      <c r="S54" s="12"/>
      <c r="T54" s="14"/>
      <c r="U54" s="17"/>
    </row>
    <row r="55" spans="2:21" ht="24.95" customHeight="1">
      <c r="B55" s="18"/>
      <c r="C55" s="20"/>
      <c r="D55" s="20"/>
      <c r="E55" s="10" t="s">
        <v>54</v>
      </c>
      <c r="F55" s="35">
        <f>72367000</f>
        <v>72367000</v>
      </c>
      <c r="G55" s="35">
        <v>30592255.579999998</v>
      </c>
      <c r="H55" s="12">
        <f t="shared" si="15"/>
        <v>41774744.420000002</v>
      </c>
      <c r="I55" s="13"/>
      <c r="J55" s="35"/>
      <c r="K55" s="35"/>
      <c r="L55" s="12">
        <f t="shared" si="16"/>
        <v>0</v>
      </c>
      <c r="M55" s="12"/>
      <c r="N55" s="35"/>
      <c r="O55" s="35"/>
      <c r="P55" s="12">
        <f t="shared" si="17"/>
        <v>0</v>
      </c>
      <c r="Q55" s="13"/>
      <c r="R55" s="12">
        <f>+F55+J55+N55</f>
        <v>72367000</v>
      </c>
      <c r="S55" s="12">
        <f t="shared" ref="R55:S59" si="18">+G55+K55+O55</f>
        <v>30592255.579999998</v>
      </c>
      <c r="T55" s="14">
        <f>+R55-S55</f>
        <v>41774744.420000002</v>
      </c>
      <c r="U55" s="17">
        <f t="shared" si="5"/>
        <v>0.42273765086296239</v>
      </c>
    </row>
    <row r="56" spans="2:21" ht="30" customHeight="1">
      <c r="B56" s="18"/>
      <c r="C56" s="10"/>
      <c r="D56" s="10"/>
      <c r="E56" s="21" t="s">
        <v>55</v>
      </c>
      <c r="F56" s="36">
        <v>30648000</v>
      </c>
      <c r="G56" s="37">
        <v>44603373.530000001</v>
      </c>
      <c r="H56" s="12">
        <f t="shared" si="15"/>
        <v>-13955373.530000001</v>
      </c>
      <c r="I56" s="13"/>
      <c r="J56" s="36"/>
      <c r="K56" s="37"/>
      <c r="L56" s="12">
        <f t="shared" si="16"/>
        <v>0</v>
      </c>
      <c r="M56" s="38"/>
      <c r="N56" s="36">
        <v>3319533</v>
      </c>
      <c r="O56" s="37">
        <v>3319533</v>
      </c>
      <c r="P56" s="12">
        <f t="shared" si="17"/>
        <v>0</v>
      </c>
      <c r="Q56" s="39"/>
      <c r="R56" s="38">
        <f t="shared" si="18"/>
        <v>33967533</v>
      </c>
      <c r="S56" s="38">
        <f t="shared" si="18"/>
        <v>47922906.530000001</v>
      </c>
      <c r="T56" s="40">
        <f>+R56-S56</f>
        <v>-13955373.530000001</v>
      </c>
      <c r="U56" s="17">
        <f t="shared" si="5"/>
        <v>1.4108444828772229</v>
      </c>
    </row>
    <row r="57" spans="2:21" ht="30" customHeight="1">
      <c r="B57" s="18"/>
      <c r="C57" s="10"/>
      <c r="D57" s="10"/>
      <c r="E57" s="21" t="s">
        <v>56</v>
      </c>
      <c r="F57" s="12">
        <v>4675000</v>
      </c>
      <c r="G57" s="12">
        <v>5816891.1399999997</v>
      </c>
      <c r="H57" s="12">
        <f t="shared" si="15"/>
        <v>-1141891.1399999997</v>
      </c>
      <c r="I57" s="13"/>
      <c r="J57" s="12"/>
      <c r="K57" s="12"/>
      <c r="L57" s="12">
        <f t="shared" si="16"/>
        <v>0</v>
      </c>
      <c r="M57" s="12"/>
      <c r="N57" s="12">
        <v>3671740.27</v>
      </c>
      <c r="O57" s="12">
        <v>3671740.27</v>
      </c>
      <c r="P57" s="12">
        <f t="shared" si="17"/>
        <v>0</v>
      </c>
      <c r="Q57" s="13"/>
      <c r="R57" s="12">
        <f t="shared" si="18"/>
        <v>8346740.2699999996</v>
      </c>
      <c r="S57" s="12">
        <f t="shared" si="18"/>
        <v>9488631.4100000001</v>
      </c>
      <c r="T57" s="14">
        <f>+R57-S57</f>
        <v>-1141891.1400000006</v>
      </c>
      <c r="U57" s="17">
        <f t="shared" si="5"/>
        <v>1.1368068375272447</v>
      </c>
    </row>
    <row r="58" spans="2:21" ht="24.95" customHeight="1">
      <c r="B58" s="18"/>
      <c r="C58" s="10"/>
      <c r="D58" s="10"/>
      <c r="E58" s="28" t="s">
        <v>57</v>
      </c>
      <c r="F58" s="12">
        <v>1563000</v>
      </c>
      <c r="G58" s="12">
        <v>1534092.8299999998</v>
      </c>
      <c r="H58" s="12">
        <f t="shared" si="15"/>
        <v>28907.170000000158</v>
      </c>
      <c r="I58" s="13"/>
      <c r="J58" s="12"/>
      <c r="K58" s="12"/>
      <c r="L58" s="12">
        <f t="shared" si="16"/>
        <v>0</v>
      </c>
      <c r="M58" s="12"/>
      <c r="N58" s="12"/>
      <c r="O58" s="12"/>
      <c r="P58" s="12">
        <f t="shared" si="17"/>
        <v>0</v>
      </c>
      <c r="Q58" s="13"/>
      <c r="R58" s="12">
        <f t="shared" si="18"/>
        <v>1563000</v>
      </c>
      <c r="S58" s="12">
        <f t="shared" si="18"/>
        <v>1534092.8299999998</v>
      </c>
      <c r="T58" s="14">
        <f>+R58-S58</f>
        <v>28907.170000000158</v>
      </c>
      <c r="U58" s="17">
        <f t="shared" si="5"/>
        <v>0.9815053294945616</v>
      </c>
    </row>
    <row r="59" spans="2:21" ht="29.25" customHeight="1">
      <c r="B59" s="18"/>
      <c r="C59" s="10"/>
      <c r="D59" s="10"/>
      <c r="E59" s="21" t="s">
        <v>58</v>
      </c>
      <c r="F59" s="12">
        <v>2523000</v>
      </c>
      <c r="G59" s="12">
        <v>3452118.72</v>
      </c>
      <c r="H59" s="12">
        <f t="shared" si="15"/>
        <v>-929118.7200000002</v>
      </c>
      <c r="I59" s="13"/>
      <c r="J59" s="12"/>
      <c r="K59" s="12"/>
      <c r="L59" s="12">
        <f t="shared" si="16"/>
        <v>0</v>
      </c>
      <c r="M59" s="12"/>
      <c r="N59" s="12"/>
      <c r="O59" s="12"/>
      <c r="P59" s="12">
        <f t="shared" si="17"/>
        <v>0</v>
      </c>
      <c r="Q59" s="13"/>
      <c r="R59" s="12">
        <f t="shared" si="18"/>
        <v>2523000</v>
      </c>
      <c r="S59" s="12">
        <f t="shared" si="18"/>
        <v>3452118.72</v>
      </c>
      <c r="T59" s="14">
        <f>+R59-S59</f>
        <v>-929118.7200000002</v>
      </c>
      <c r="U59" s="17">
        <f t="shared" si="5"/>
        <v>1.3682595005945304</v>
      </c>
    </row>
    <row r="60" spans="2:21" ht="24.95" customHeight="1">
      <c r="B60" s="18"/>
      <c r="C60" s="10"/>
      <c r="D60" s="10"/>
      <c r="E60" s="21"/>
      <c r="F60" s="12"/>
      <c r="G60" s="12"/>
      <c r="H60" s="12"/>
      <c r="I60" s="13"/>
      <c r="J60" s="12"/>
      <c r="K60" s="12"/>
      <c r="L60" s="12"/>
      <c r="M60" s="12"/>
      <c r="N60" s="12"/>
      <c r="O60" s="12"/>
      <c r="P60" s="12"/>
      <c r="Q60" s="13"/>
      <c r="R60" s="12"/>
      <c r="S60" s="12"/>
      <c r="T60" s="14"/>
      <c r="U60" s="17"/>
    </row>
    <row r="61" spans="2:21" ht="24.95" customHeight="1">
      <c r="B61" s="18"/>
      <c r="C61" s="20" t="s">
        <v>59</v>
      </c>
      <c r="D61" s="20"/>
      <c r="E61" s="10"/>
      <c r="F61" s="12"/>
      <c r="G61" s="12"/>
      <c r="H61" s="12"/>
      <c r="I61" s="13"/>
      <c r="J61" s="12"/>
      <c r="K61" s="12"/>
      <c r="L61" s="12"/>
      <c r="M61" s="12"/>
      <c r="N61" s="12"/>
      <c r="O61" s="12"/>
      <c r="P61" s="12"/>
      <c r="Q61" s="13"/>
      <c r="R61" s="12"/>
      <c r="S61" s="12"/>
      <c r="T61" s="14"/>
      <c r="U61" s="17"/>
    </row>
    <row r="62" spans="2:21" ht="24.95" customHeight="1">
      <c r="B62" s="18"/>
      <c r="C62" s="20"/>
      <c r="D62" s="20"/>
      <c r="E62" s="10" t="s">
        <v>60</v>
      </c>
      <c r="F62" s="12">
        <v>43864680</v>
      </c>
      <c r="G62" s="12">
        <v>45697146.479999997</v>
      </c>
      <c r="H62" s="12">
        <f>+F62-G62</f>
        <v>-1832466.4799999967</v>
      </c>
      <c r="I62" s="13"/>
      <c r="J62" s="12"/>
      <c r="K62" s="12">
        <v>25822092</v>
      </c>
      <c r="L62" s="12">
        <f>+J62-K62</f>
        <v>-25822092</v>
      </c>
      <c r="M62" s="12"/>
      <c r="N62" s="12">
        <v>436897</v>
      </c>
      <c r="O62" s="12"/>
      <c r="P62" s="12">
        <f>+N62-O62</f>
        <v>436897</v>
      </c>
      <c r="Q62" s="13"/>
      <c r="R62" s="12">
        <f t="shared" ref="R62:S65" si="19">+F62+J62+N62</f>
        <v>44301577</v>
      </c>
      <c r="S62" s="12">
        <f t="shared" si="19"/>
        <v>71519238.479999989</v>
      </c>
      <c r="T62" s="14">
        <f>+R62-S62</f>
        <v>-27217661.479999989</v>
      </c>
      <c r="U62" s="17">
        <f t="shared" si="5"/>
        <v>1.6143722937899025</v>
      </c>
    </row>
    <row r="63" spans="2:21" ht="30" customHeight="1">
      <c r="B63" s="18"/>
      <c r="C63" s="10"/>
      <c r="D63" s="10"/>
      <c r="E63" s="21" t="s">
        <v>61</v>
      </c>
      <c r="F63" s="12">
        <v>10334924</v>
      </c>
      <c r="G63" s="12">
        <v>19026785.48</v>
      </c>
      <c r="H63" s="12">
        <f>+F63-G63</f>
        <v>-8691861.4800000004</v>
      </c>
      <c r="I63" s="13"/>
      <c r="J63" s="12"/>
      <c r="K63" s="12"/>
      <c r="L63" s="12">
        <f>+J63-K63</f>
        <v>0</v>
      </c>
      <c r="M63" s="12"/>
      <c r="N63" s="12"/>
      <c r="O63" s="12"/>
      <c r="P63" s="12">
        <f>+N63-O63</f>
        <v>0</v>
      </c>
      <c r="Q63" s="13"/>
      <c r="R63" s="12">
        <f t="shared" si="19"/>
        <v>10334924</v>
      </c>
      <c r="S63" s="12">
        <f t="shared" si="19"/>
        <v>19026785.48</v>
      </c>
      <c r="T63" s="14">
        <f>+R63-S63</f>
        <v>-8691861.4800000004</v>
      </c>
      <c r="U63" s="17">
        <f t="shared" si="5"/>
        <v>1.8410184225834656</v>
      </c>
    </row>
    <row r="64" spans="2:21" ht="30" customHeight="1">
      <c r="B64" s="18"/>
      <c r="C64" s="10"/>
      <c r="D64" s="10"/>
      <c r="E64" s="22" t="s">
        <v>62</v>
      </c>
      <c r="F64" s="12">
        <v>24665693</v>
      </c>
      <c r="G64" s="12">
        <v>24665619</v>
      </c>
      <c r="H64" s="12">
        <f>+F64-G64</f>
        <v>74</v>
      </c>
      <c r="I64" s="13"/>
      <c r="J64" s="12"/>
      <c r="K64" s="12"/>
      <c r="L64" s="12">
        <f>+J64-K64</f>
        <v>0</v>
      </c>
      <c r="M64" s="12"/>
      <c r="N64" s="12">
        <v>2124727</v>
      </c>
      <c r="O64" s="12"/>
      <c r="P64" s="12">
        <f>+N64-O64</f>
        <v>2124727</v>
      </c>
      <c r="Q64" s="13"/>
      <c r="R64" s="12">
        <f t="shared" si="19"/>
        <v>26790420</v>
      </c>
      <c r="S64" s="12">
        <f t="shared" si="19"/>
        <v>24665619</v>
      </c>
      <c r="T64" s="14">
        <f>+R64-S64</f>
        <v>2124801</v>
      </c>
      <c r="U64" s="17">
        <f t="shared" si="5"/>
        <v>0.92068802952697271</v>
      </c>
    </row>
    <row r="65" spans="2:21" ht="30" customHeight="1">
      <c r="B65" s="18"/>
      <c r="C65" s="10"/>
      <c r="D65" s="10"/>
      <c r="E65" s="21" t="s">
        <v>63</v>
      </c>
      <c r="F65" s="12">
        <v>15748694</v>
      </c>
      <c r="G65" s="12">
        <v>18816645.41</v>
      </c>
      <c r="H65" s="12">
        <f>+F65-G65</f>
        <v>-3067951.41</v>
      </c>
      <c r="I65" s="13"/>
      <c r="J65" s="12"/>
      <c r="K65" s="12"/>
      <c r="L65" s="12">
        <f>+J65-K65</f>
        <v>0</v>
      </c>
      <c r="M65" s="12"/>
      <c r="N65" s="12"/>
      <c r="O65" s="12"/>
      <c r="P65" s="12">
        <f>+N65-O65</f>
        <v>0</v>
      </c>
      <c r="Q65" s="13"/>
      <c r="R65" s="12">
        <f t="shared" si="19"/>
        <v>15748694</v>
      </c>
      <c r="S65" s="12">
        <f t="shared" si="19"/>
        <v>18816645.41</v>
      </c>
      <c r="T65" s="14">
        <f>+R65-S65</f>
        <v>-3067951.41</v>
      </c>
      <c r="U65" s="17">
        <f t="shared" si="5"/>
        <v>1.1948067192111296</v>
      </c>
    </row>
    <row r="66" spans="2:21" ht="24.95" customHeight="1">
      <c r="B66" s="18"/>
      <c r="C66" s="10"/>
      <c r="D66" s="10"/>
      <c r="E66" s="21"/>
      <c r="F66" s="12"/>
      <c r="G66" s="12"/>
      <c r="H66" s="12"/>
      <c r="I66" s="13"/>
      <c r="J66" s="12"/>
      <c r="K66" s="12"/>
      <c r="L66" s="12"/>
      <c r="M66" s="12"/>
      <c r="N66" s="12"/>
      <c r="O66" s="12"/>
      <c r="P66" s="12"/>
      <c r="Q66" s="13"/>
      <c r="R66" s="12"/>
      <c r="S66" s="12"/>
      <c r="T66" s="14"/>
      <c r="U66" s="17"/>
    </row>
    <row r="67" spans="2:21" ht="24.95" customHeight="1">
      <c r="B67" s="18"/>
      <c r="C67" s="20" t="s">
        <v>64</v>
      </c>
      <c r="D67" s="20"/>
      <c r="E67" s="10"/>
      <c r="F67" s="12"/>
      <c r="G67" s="12"/>
      <c r="H67" s="12"/>
      <c r="I67" s="13"/>
      <c r="J67" s="12"/>
      <c r="K67" s="12"/>
      <c r="L67" s="12"/>
      <c r="M67" s="12"/>
      <c r="N67" s="12"/>
      <c r="O67" s="12"/>
      <c r="P67" s="12"/>
      <c r="Q67" s="13"/>
      <c r="R67" s="12"/>
      <c r="S67" s="12"/>
      <c r="T67" s="14"/>
      <c r="U67" s="17"/>
    </row>
    <row r="68" spans="2:21" ht="24.95" customHeight="1">
      <c r="B68" s="18"/>
      <c r="C68" s="20"/>
      <c r="D68" s="20"/>
      <c r="E68" s="10" t="s">
        <v>65</v>
      </c>
      <c r="F68" s="12">
        <v>24611305</v>
      </c>
      <c r="G68" s="12">
        <v>24603490.050000001</v>
      </c>
      <c r="H68" s="12">
        <f>+F68-G68</f>
        <v>7814.9499999992549</v>
      </c>
      <c r="I68" s="13"/>
      <c r="J68" s="12">
        <v>18845784</v>
      </c>
      <c r="K68" s="12">
        <v>18845784</v>
      </c>
      <c r="L68" s="12">
        <f>+J68-K68</f>
        <v>0</v>
      </c>
      <c r="M68" s="12"/>
      <c r="N68" s="12"/>
      <c r="O68" s="12"/>
      <c r="P68" s="12">
        <f>+N68-O68</f>
        <v>0</v>
      </c>
      <c r="Q68" s="13"/>
      <c r="R68" s="12">
        <f t="shared" ref="R68:S72" si="20">+F68+J68+N68</f>
        <v>43457089</v>
      </c>
      <c r="S68" s="12">
        <f t="shared" si="20"/>
        <v>43449274.049999997</v>
      </c>
      <c r="T68" s="14">
        <f>+R68-S68</f>
        <v>7814.9500000029802</v>
      </c>
      <c r="U68" s="17">
        <f t="shared" si="5"/>
        <v>0.99982016858055078</v>
      </c>
    </row>
    <row r="69" spans="2:21" ht="30.75" customHeight="1">
      <c r="B69" s="18"/>
      <c r="C69" s="10"/>
      <c r="D69" s="10"/>
      <c r="E69" s="21" t="s">
        <v>66</v>
      </c>
      <c r="F69" s="12">
        <v>18304000</v>
      </c>
      <c r="G69" s="12">
        <v>18299167.309999999</v>
      </c>
      <c r="H69" s="12">
        <f>+F69-G69</f>
        <v>4832.6900000013411</v>
      </c>
      <c r="I69" s="13"/>
      <c r="J69" s="12"/>
      <c r="K69" s="12"/>
      <c r="L69" s="12">
        <f>+J69-K69</f>
        <v>0</v>
      </c>
      <c r="M69" s="12"/>
      <c r="N69" s="12"/>
      <c r="O69" s="12"/>
      <c r="P69" s="12">
        <f>+N69-O69</f>
        <v>0</v>
      </c>
      <c r="Q69" s="13"/>
      <c r="R69" s="12">
        <f t="shared" si="20"/>
        <v>18304000</v>
      </c>
      <c r="S69" s="12">
        <f t="shared" si="20"/>
        <v>18299167.309999999</v>
      </c>
      <c r="T69" s="14">
        <f>+R69-S69</f>
        <v>4832.6900000013411</v>
      </c>
      <c r="U69" s="17">
        <f t="shared" si="5"/>
        <v>0.99973597628933564</v>
      </c>
    </row>
    <row r="70" spans="2:21" ht="30.75" customHeight="1">
      <c r="B70" s="18"/>
      <c r="C70" s="10"/>
      <c r="D70" s="10"/>
      <c r="E70" s="21" t="s">
        <v>67</v>
      </c>
      <c r="F70" s="12">
        <v>10836000</v>
      </c>
      <c r="G70" s="12">
        <v>11513335.300000001</v>
      </c>
      <c r="H70" s="12">
        <f>+F70-G70</f>
        <v>-677335.30000000075</v>
      </c>
      <c r="I70" s="13"/>
      <c r="J70" s="12"/>
      <c r="K70" s="12"/>
      <c r="L70" s="12">
        <f>+J70-K70</f>
        <v>0</v>
      </c>
      <c r="M70" s="12"/>
      <c r="N70" s="12">
        <v>1437281</v>
      </c>
      <c r="O70" s="12">
        <v>1437280.29</v>
      </c>
      <c r="P70" s="12">
        <f>+N70-O70</f>
        <v>0.7099999999627471</v>
      </c>
      <c r="Q70" s="13"/>
      <c r="R70" s="12">
        <f t="shared" si="20"/>
        <v>12273281</v>
      </c>
      <c r="S70" s="12">
        <f t="shared" si="20"/>
        <v>12950615.59</v>
      </c>
      <c r="T70" s="14">
        <f>+R70-S70</f>
        <v>-677334.58999999985</v>
      </c>
      <c r="U70" s="17">
        <f t="shared" si="5"/>
        <v>1.0551877358629693</v>
      </c>
    </row>
    <row r="71" spans="2:21" ht="30.75" customHeight="1">
      <c r="B71" s="18"/>
      <c r="C71" s="10"/>
      <c r="D71" s="10"/>
      <c r="E71" s="22" t="s">
        <v>68</v>
      </c>
      <c r="F71" s="12">
        <v>7787000</v>
      </c>
      <c r="G71" s="12">
        <v>6802001.8899999997</v>
      </c>
      <c r="H71" s="12">
        <f>+F71-G71</f>
        <v>984998.11000000034</v>
      </c>
      <c r="I71" s="13"/>
      <c r="J71" s="12"/>
      <c r="K71" s="12"/>
      <c r="L71" s="12">
        <f>+J71-K71</f>
        <v>0</v>
      </c>
      <c r="M71" s="12"/>
      <c r="N71" s="12"/>
      <c r="O71" s="12"/>
      <c r="P71" s="12">
        <f>+N71-O71</f>
        <v>0</v>
      </c>
      <c r="Q71" s="13"/>
      <c r="R71" s="12">
        <f t="shared" si="20"/>
        <v>7787000</v>
      </c>
      <c r="S71" s="12">
        <f t="shared" si="20"/>
        <v>6802001.8899999997</v>
      </c>
      <c r="T71" s="14">
        <f>+R71-S71</f>
        <v>984998.11000000034</v>
      </c>
      <c r="U71" s="17">
        <f t="shared" si="5"/>
        <v>0.8735073699756003</v>
      </c>
    </row>
    <row r="72" spans="2:21" ht="24.95" customHeight="1">
      <c r="B72" s="18"/>
      <c r="C72" s="10"/>
      <c r="D72" s="10"/>
      <c r="E72" s="41" t="s">
        <v>69</v>
      </c>
      <c r="F72" s="12">
        <v>4335000</v>
      </c>
      <c r="G72" s="12">
        <v>2447066.17</v>
      </c>
      <c r="H72" s="12">
        <f>+F72-G72</f>
        <v>1887933.83</v>
      </c>
      <c r="I72" s="13"/>
      <c r="J72" s="12"/>
      <c r="K72" s="12"/>
      <c r="L72" s="12">
        <f>+J72-K72</f>
        <v>0</v>
      </c>
      <c r="M72" s="12"/>
      <c r="N72" s="12">
        <v>42690000</v>
      </c>
      <c r="O72" s="12">
        <v>52785596.560000002</v>
      </c>
      <c r="P72" s="12">
        <f>+N72-O72</f>
        <v>-10095596.560000002</v>
      </c>
      <c r="Q72" s="13"/>
      <c r="R72" s="12">
        <f t="shared" si="20"/>
        <v>47025000</v>
      </c>
      <c r="S72" s="12">
        <f t="shared" si="20"/>
        <v>55232662.730000004</v>
      </c>
      <c r="T72" s="14">
        <f>+R72-S72</f>
        <v>-8207662.7300000042</v>
      </c>
      <c r="U72" s="17">
        <f t="shared" si="5"/>
        <v>1.1745382824029773</v>
      </c>
    </row>
    <row r="73" spans="2:21" ht="24.95" customHeight="1">
      <c r="B73" s="18"/>
      <c r="C73" s="10"/>
      <c r="D73" s="10"/>
      <c r="E73" s="41"/>
      <c r="F73" s="12"/>
      <c r="G73" s="12"/>
      <c r="H73" s="12"/>
      <c r="I73" s="13"/>
      <c r="J73" s="12"/>
      <c r="K73" s="12"/>
      <c r="L73" s="12"/>
      <c r="M73" s="12"/>
      <c r="N73" s="12"/>
      <c r="O73" s="12"/>
      <c r="P73" s="12"/>
      <c r="Q73" s="13"/>
      <c r="R73" s="12"/>
      <c r="S73" s="12"/>
      <c r="T73" s="14"/>
      <c r="U73" s="17"/>
    </row>
    <row r="74" spans="2:21" ht="24.95" customHeight="1">
      <c r="B74" s="18"/>
      <c r="C74" s="20" t="s">
        <v>70</v>
      </c>
      <c r="D74" s="20"/>
      <c r="E74" s="10"/>
      <c r="F74" s="12"/>
      <c r="G74" s="12"/>
      <c r="H74" s="12"/>
      <c r="I74" s="13"/>
      <c r="J74" s="12"/>
      <c r="K74" s="12"/>
      <c r="L74" s="12"/>
      <c r="M74" s="12"/>
      <c r="N74" s="12"/>
      <c r="O74" s="12"/>
      <c r="P74" s="12"/>
      <c r="Q74" s="13"/>
      <c r="R74" s="12"/>
      <c r="S74" s="12"/>
      <c r="T74" s="14"/>
      <c r="U74" s="17"/>
    </row>
    <row r="75" spans="2:21" ht="24.95" customHeight="1">
      <c r="B75" s="18"/>
      <c r="C75" s="20"/>
      <c r="D75" s="20"/>
      <c r="E75" s="10" t="s">
        <v>71</v>
      </c>
      <c r="F75" s="12">
        <v>51728650</v>
      </c>
      <c r="G75" s="12">
        <v>51858131.480000004</v>
      </c>
      <c r="H75" s="12">
        <f t="shared" ref="H75:H80" si="21">+F75-G75</f>
        <v>-129481.48000000417</v>
      </c>
      <c r="I75" s="13"/>
      <c r="J75" s="12"/>
      <c r="K75" s="12"/>
      <c r="L75" s="12">
        <f t="shared" ref="L75:L80" si="22">+J75-K75</f>
        <v>0</v>
      </c>
      <c r="M75" s="12"/>
      <c r="N75" s="12">
        <v>6726677</v>
      </c>
      <c r="O75" s="12">
        <v>6669067.5999999996</v>
      </c>
      <c r="P75" s="12">
        <f t="shared" ref="P75:P80" si="23">+N75-O75</f>
        <v>57609.400000000373</v>
      </c>
      <c r="Q75" s="13"/>
      <c r="R75" s="12">
        <f t="shared" ref="R75:S80" si="24">+F75+J75+N75</f>
        <v>58455327</v>
      </c>
      <c r="S75" s="12">
        <f t="shared" si="24"/>
        <v>58527199.080000006</v>
      </c>
      <c r="T75" s="14">
        <f t="shared" ref="T75:T80" si="25">+R75-S75</f>
        <v>-71872.080000005662</v>
      </c>
      <c r="U75" s="17">
        <f t="shared" ref="U75:U137" si="26">+S75/R75</f>
        <v>1.0012295214771445</v>
      </c>
    </row>
    <row r="76" spans="2:21" ht="28.5" customHeight="1">
      <c r="B76" s="18"/>
      <c r="C76" s="10"/>
      <c r="D76" s="10"/>
      <c r="E76" s="21" t="s">
        <v>72</v>
      </c>
      <c r="F76" s="12">
        <v>21716000</v>
      </c>
      <c r="G76" s="12">
        <v>19846671.48</v>
      </c>
      <c r="H76" s="12">
        <f t="shared" si="21"/>
        <v>1869328.5199999996</v>
      </c>
      <c r="I76" s="13"/>
      <c r="J76" s="12"/>
      <c r="K76" s="12"/>
      <c r="L76" s="12">
        <f t="shared" si="22"/>
        <v>0</v>
      </c>
      <c r="M76" s="12"/>
      <c r="N76" s="12"/>
      <c r="O76" s="12"/>
      <c r="P76" s="12">
        <f t="shared" si="23"/>
        <v>0</v>
      </c>
      <c r="Q76" s="13"/>
      <c r="R76" s="12">
        <f t="shared" si="24"/>
        <v>21716000</v>
      </c>
      <c r="S76" s="12">
        <f t="shared" si="24"/>
        <v>19846671.48</v>
      </c>
      <c r="T76" s="14">
        <f t="shared" si="25"/>
        <v>1869328.5199999996</v>
      </c>
      <c r="U76" s="17">
        <f t="shared" si="26"/>
        <v>0.91391929821329898</v>
      </c>
    </row>
    <row r="77" spans="2:21" ht="28.5" customHeight="1">
      <c r="B77" s="18"/>
      <c r="C77" s="10"/>
      <c r="D77" s="10"/>
      <c r="E77" s="21" t="s">
        <v>73</v>
      </c>
      <c r="F77" s="12">
        <v>1620000</v>
      </c>
      <c r="G77" s="12">
        <v>1735792.06</v>
      </c>
      <c r="H77" s="12">
        <f t="shared" si="21"/>
        <v>-115792.06000000006</v>
      </c>
      <c r="I77" s="13"/>
      <c r="J77" s="12"/>
      <c r="K77" s="12"/>
      <c r="L77" s="12">
        <f t="shared" si="22"/>
        <v>0</v>
      </c>
      <c r="M77" s="12"/>
      <c r="N77" s="12"/>
      <c r="O77" s="12"/>
      <c r="P77" s="12">
        <f t="shared" si="23"/>
        <v>0</v>
      </c>
      <c r="Q77" s="13"/>
      <c r="R77" s="12">
        <f t="shared" si="24"/>
        <v>1620000</v>
      </c>
      <c r="S77" s="12">
        <f t="shared" si="24"/>
        <v>1735792.06</v>
      </c>
      <c r="T77" s="14">
        <f t="shared" si="25"/>
        <v>-115792.06000000006</v>
      </c>
      <c r="U77" s="17">
        <f t="shared" si="26"/>
        <v>1.0714765802469137</v>
      </c>
    </row>
    <row r="78" spans="2:21" ht="28.5" customHeight="1">
      <c r="B78" s="18"/>
      <c r="C78" s="10"/>
      <c r="D78" s="10"/>
      <c r="E78" s="21" t="s">
        <v>74</v>
      </c>
      <c r="F78" s="12">
        <v>14985000</v>
      </c>
      <c r="G78" s="12">
        <v>13906942.970000001</v>
      </c>
      <c r="H78" s="12">
        <f t="shared" si="21"/>
        <v>1078057.0299999993</v>
      </c>
      <c r="I78" s="13"/>
      <c r="J78" s="12"/>
      <c r="K78" s="12"/>
      <c r="L78" s="12">
        <f t="shared" si="22"/>
        <v>0</v>
      </c>
      <c r="M78" s="12"/>
      <c r="N78" s="12"/>
      <c r="O78" s="12"/>
      <c r="P78" s="12">
        <f t="shared" si="23"/>
        <v>0</v>
      </c>
      <c r="Q78" s="13"/>
      <c r="R78" s="12">
        <f t="shared" si="24"/>
        <v>14985000</v>
      </c>
      <c r="S78" s="12">
        <f t="shared" si="24"/>
        <v>13906942.970000001</v>
      </c>
      <c r="T78" s="14">
        <f t="shared" si="25"/>
        <v>1078057.0299999993</v>
      </c>
      <c r="U78" s="17">
        <f t="shared" si="26"/>
        <v>0.92805758892225565</v>
      </c>
    </row>
    <row r="79" spans="2:21" ht="24.95" customHeight="1">
      <c r="B79" s="18"/>
      <c r="C79" s="10"/>
      <c r="D79" s="10"/>
      <c r="E79" s="28" t="s">
        <v>75</v>
      </c>
      <c r="F79" s="12">
        <v>7849000</v>
      </c>
      <c r="G79" s="12">
        <v>4491870.21</v>
      </c>
      <c r="H79" s="12">
        <f t="shared" si="21"/>
        <v>3357129.79</v>
      </c>
      <c r="I79" s="13"/>
      <c r="J79" s="12"/>
      <c r="K79" s="12"/>
      <c r="L79" s="12">
        <f t="shared" si="22"/>
        <v>0</v>
      </c>
      <c r="M79" s="12"/>
      <c r="N79" s="12"/>
      <c r="O79" s="12"/>
      <c r="P79" s="12">
        <f t="shared" si="23"/>
        <v>0</v>
      </c>
      <c r="Q79" s="13"/>
      <c r="R79" s="12">
        <f t="shared" si="24"/>
        <v>7849000</v>
      </c>
      <c r="S79" s="12">
        <f t="shared" si="24"/>
        <v>4491870.21</v>
      </c>
      <c r="T79" s="14">
        <f t="shared" si="25"/>
        <v>3357129.79</v>
      </c>
      <c r="U79" s="17">
        <f t="shared" si="26"/>
        <v>0.5722856682379921</v>
      </c>
    </row>
    <row r="80" spans="2:21" ht="24.95" customHeight="1">
      <c r="B80" s="18"/>
      <c r="C80" s="10"/>
      <c r="D80" s="10"/>
      <c r="E80" s="22" t="s">
        <v>76</v>
      </c>
      <c r="F80" s="12">
        <v>10133000</v>
      </c>
      <c r="G80" s="12">
        <v>9980542.8399999999</v>
      </c>
      <c r="H80" s="12">
        <f t="shared" si="21"/>
        <v>152457.16000000015</v>
      </c>
      <c r="I80" s="13"/>
      <c r="J80" s="12"/>
      <c r="K80" s="12"/>
      <c r="L80" s="12">
        <f t="shared" si="22"/>
        <v>0</v>
      </c>
      <c r="M80" s="12"/>
      <c r="N80" s="12">
        <v>424355</v>
      </c>
      <c r="O80" s="12">
        <v>424353.89</v>
      </c>
      <c r="P80" s="12">
        <f t="shared" si="23"/>
        <v>1.1099999999860302</v>
      </c>
      <c r="Q80" s="13"/>
      <c r="R80" s="12">
        <f t="shared" si="24"/>
        <v>10557355</v>
      </c>
      <c r="S80" s="12">
        <f t="shared" si="24"/>
        <v>10404896.73</v>
      </c>
      <c r="T80" s="14">
        <f t="shared" si="25"/>
        <v>152458.26999999955</v>
      </c>
      <c r="U80" s="17">
        <f t="shared" si="26"/>
        <v>0.98555904674987249</v>
      </c>
    </row>
    <row r="81" spans="2:21" ht="27.75" customHeight="1">
      <c r="B81" s="18"/>
      <c r="C81" s="10"/>
      <c r="D81" s="10"/>
      <c r="E81" s="31" t="s">
        <v>51</v>
      </c>
      <c r="F81" s="32">
        <f>SUM(F55:F80)</f>
        <v>380294946</v>
      </c>
      <c r="G81" s="32">
        <f t="shared" ref="G81:S81" si="27">SUM(G55:G80)</f>
        <v>359689939.93000001</v>
      </c>
      <c r="H81" s="32">
        <f t="shared" si="27"/>
        <v>20605006.069999997</v>
      </c>
      <c r="I81" s="32">
        <f t="shared" si="27"/>
        <v>0</v>
      </c>
      <c r="J81" s="32">
        <f>SUM(J55:J80)</f>
        <v>18845784</v>
      </c>
      <c r="K81" s="32">
        <f>SUM(K55:K80)</f>
        <v>44667876</v>
      </c>
      <c r="L81" s="32">
        <f>SUM(L55:L80)</f>
        <v>-25822092</v>
      </c>
      <c r="M81" s="32">
        <f t="shared" si="27"/>
        <v>0</v>
      </c>
      <c r="N81" s="32">
        <f>SUM(N55:N80)</f>
        <v>60831210.269999996</v>
      </c>
      <c r="O81" s="32">
        <f>SUM(O55:O80)</f>
        <v>68307571.609999999</v>
      </c>
      <c r="P81" s="32">
        <f>SUM(P55:P80)</f>
        <v>-7476361.3400000017</v>
      </c>
      <c r="Q81" s="32">
        <f t="shared" si="27"/>
        <v>0</v>
      </c>
      <c r="R81" s="32">
        <f t="shared" si="27"/>
        <v>459971940.26999998</v>
      </c>
      <c r="S81" s="32">
        <f t="shared" si="27"/>
        <v>472665387.53999996</v>
      </c>
      <c r="T81" s="34">
        <f>SUM(T55:T80)</f>
        <v>-12693447.269999992</v>
      </c>
      <c r="U81" s="17">
        <f t="shared" si="26"/>
        <v>1.0275961339349289</v>
      </c>
    </row>
    <row r="82" spans="2:21" ht="24.95" customHeight="1">
      <c r="B82" s="18"/>
      <c r="C82" s="10"/>
      <c r="D82" s="10"/>
      <c r="E82" s="22"/>
      <c r="F82" s="12"/>
      <c r="G82" s="12"/>
      <c r="H82" s="12"/>
      <c r="I82" s="13"/>
      <c r="J82" s="12"/>
      <c r="K82" s="12"/>
      <c r="L82" s="12"/>
      <c r="M82" s="12"/>
      <c r="N82" s="12"/>
      <c r="O82" s="12"/>
      <c r="P82" s="12"/>
      <c r="Q82" s="13"/>
      <c r="R82" s="12"/>
      <c r="S82" s="12"/>
      <c r="T82" s="14"/>
      <c r="U82" s="17"/>
    </row>
    <row r="83" spans="2:21" ht="24.95" customHeight="1">
      <c r="B83" s="18"/>
      <c r="C83" s="24" t="s">
        <v>77</v>
      </c>
      <c r="D83" s="10"/>
      <c r="E83" s="22"/>
      <c r="F83" s="12">
        <f>SUM(F85:F103)</f>
        <v>337122409.44999999</v>
      </c>
      <c r="G83" s="12">
        <f t="shared" ref="G83:T83" si="28">SUM(G85:G103)</f>
        <v>369966090.08999991</v>
      </c>
      <c r="H83" s="12">
        <f t="shared" si="28"/>
        <v>-32843680.639999989</v>
      </c>
      <c r="I83" s="12">
        <f t="shared" si="28"/>
        <v>0</v>
      </c>
      <c r="J83" s="12">
        <f>SUM(J85:J103)</f>
        <v>128000000</v>
      </c>
      <c r="K83" s="12">
        <f>SUM(K85:K103)</f>
        <v>128000000</v>
      </c>
      <c r="L83" s="12">
        <f>SUM(L85:L103)</f>
        <v>0</v>
      </c>
      <c r="M83" s="12">
        <f t="shared" si="28"/>
        <v>0</v>
      </c>
      <c r="N83" s="12">
        <f>SUM(N85:N103)</f>
        <v>9984935.6400000006</v>
      </c>
      <c r="O83" s="12">
        <f>SUM(O85:O103)</f>
        <v>66535023.449999996</v>
      </c>
      <c r="P83" s="12">
        <f>SUM(P85:P103)</f>
        <v>-56550087.809999995</v>
      </c>
      <c r="Q83" s="12">
        <f t="shared" si="28"/>
        <v>0</v>
      </c>
      <c r="R83" s="12">
        <f t="shared" si="28"/>
        <v>475107345.08999997</v>
      </c>
      <c r="S83" s="12">
        <f t="shared" si="28"/>
        <v>564501113.53999996</v>
      </c>
      <c r="T83" s="14">
        <f t="shared" si="28"/>
        <v>-89393768.449999988</v>
      </c>
      <c r="U83" s="17">
        <f>+S83/R83</f>
        <v>1.1881548862038032</v>
      </c>
    </row>
    <row r="84" spans="2:21" ht="24.95" customHeight="1">
      <c r="B84" s="18"/>
      <c r="C84" s="20" t="s">
        <v>78</v>
      </c>
      <c r="D84" s="20"/>
      <c r="E84" s="10"/>
      <c r="F84" s="12"/>
      <c r="G84" s="12"/>
      <c r="H84" s="12">
        <f t="shared" ref="H84:H89" si="29">+F84-G84</f>
        <v>0</v>
      </c>
      <c r="I84" s="13"/>
      <c r="J84" s="12"/>
      <c r="K84" s="12"/>
      <c r="L84" s="12">
        <f t="shared" ref="L84:L89" si="30">+J84-K84</f>
        <v>0</v>
      </c>
      <c r="M84" s="12"/>
      <c r="N84" s="12"/>
      <c r="O84" s="12"/>
      <c r="P84" s="12">
        <f t="shared" ref="P84:P89" si="31">+N84-O84</f>
        <v>0</v>
      </c>
      <c r="Q84" s="13"/>
      <c r="R84" s="12"/>
      <c r="S84" s="12"/>
      <c r="T84" s="14"/>
      <c r="U84" s="17"/>
    </row>
    <row r="85" spans="2:21" ht="24.95" customHeight="1">
      <c r="B85" s="18"/>
      <c r="C85" s="20"/>
      <c r="D85" s="20"/>
      <c r="E85" s="10" t="s">
        <v>79</v>
      </c>
      <c r="F85" s="42">
        <v>77209000</v>
      </c>
      <c r="G85" s="12">
        <v>47646993.479999997</v>
      </c>
      <c r="H85" s="12">
        <f t="shared" si="29"/>
        <v>29562006.520000003</v>
      </c>
      <c r="I85" s="13"/>
      <c r="J85" s="42"/>
      <c r="K85" s="12"/>
      <c r="L85" s="12">
        <f t="shared" si="30"/>
        <v>0</v>
      </c>
      <c r="M85" s="12"/>
      <c r="N85" s="42"/>
      <c r="O85" s="12">
        <v>62622913.689999998</v>
      </c>
      <c r="P85" s="12">
        <f t="shared" si="31"/>
        <v>-62622913.689999998</v>
      </c>
      <c r="Q85" s="13"/>
      <c r="R85" s="12">
        <f t="shared" ref="R85:S89" si="32">+F85+J85+N85</f>
        <v>77209000</v>
      </c>
      <c r="S85" s="12">
        <f t="shared" si="32"/>
        <v>110269907.16999999</v>
      </c>
      <c r="T85" s="14">
        <f>+R85-S85</f>
        <v>-33060907.169999987</v>
      </c>
      <c r="U85" s="17">
        <f t="shared" si="26"/>
        <v>1.4282001731663405</v>
      </c>
    </row>
    <row r="86" spans="2:21" ht="27" customHeight="1">
      <c r="B86" s="18"/>
      <c r="C86" s="10"/>
      <c r="D86" s="10"/>
      <c r="E86" s="22" t="s">
        <v>80</v>
      </c>
      <c r="F86" s="12">
        <v>31506000</v>
      </c>
      <c r="G86" s="12">
        <v>31488021.510000002</v>
      </c>
      <c r="H86" s="12">
        <f t="shared" si="29"/>
        <v>17978.489999998361</v>
      </c>
      <c r="I86" s="13"/>
      <c r="J86" s="12"/>
      <c r="K86" s="12"/>
      <c r="L86" s="12">
        <f t="shared" si="30"/>
        <v>0</v>
      </c>
      <c r="M86" s="12"/>
      <c r="N86" s="12"/>
      <c r="O86" s="12"/>
      <c r="P86" s="12">
        <f t="shared" si="31"/>
        <v>0</v>
      </c>
      <c r="Q86" s="13"/>
      <c r="R86" s="12">
        <f t="shared" si="32"/>
        <v>31506000</v>
      </c>
      <c r="S86" s="12">
        <f t="shared" si="32"/>
        <v>31488021.510000002</v>
      </c>
      <c r="T86" s="14">
        <f>+R86-S86</f>
        <v>17978.489999998361</v>
      </c>
      <c r="U86" s="17">
        <f t="shared" si="26"/>
        <v>0.9994293629784804</v>
      </c>
    </row>
    <row r="87" spans="2:21" ht="27" customHeight="1">
      <c r="B87" s="18"/>
      <c r="C87" s="10"/>
      <c r="D87" s="10"/>
      <c r="E87" s="22" t="s">
        <v>81</v>
      </c>
      <c r="F87" s="12">
        <v>45938000</v>
      </c>
      <c r="G87" s="12">
        <v>97894549.159999996</v>
      </c>
      <c r="H87" s="12">
        <f t="shared" si="29"/>
        <v>-51956549.159999996</v>
      </c>
      <c r="I87" s="13"/>
      <c r="J87" s="12"/>
      <c r="K87" s="12"/>
      <c r="L87" s="12">
        <f t="shared" si="30"/>
        <v>0</v>
      </c>
      <c r="M87" s="12"/>
      <c r="N87" s="12"/>
      <c r="O87" s="12"/>
      <c r="P87" s="12">
        <f t="shared" si="31"/>
        <v>0</v>
      </c>
      <c r="Q87" s="13"/>
      <c r="R87" s="12">
        <f t="shared" si="32"/>
        <v>45938000</v>
      </c>
      <c r="S87" s="12">
        <f t="shared" si="32"/>
        <v>97894549.159999996</v>
      </c>
      <c r="T87" s="14">
        <f>+R87-S87</f>
        <v>-51956549.159999996</v>
      </c>
      <c r="U87" s="17">
        <f t="shared" si="26"/>
        <v>2.1310146101266922</v>
      </c>
    </row>
    <row r="88" spans="2:21" ht="27" customHeight="1">
      <c r="B88" s="18"/>
      <c r="C88" s="10"/>
      <c r="D88" s="10"/>
      <c r="E88" s="22" t="s">
        <v>82</v>
      </c>
      <c r="F88" s="12">
        <v>5471000</v>
      </c>
      <c r="G88" s="12">
        <v>3181418.22</v>
      </c>
      <c r="H88" s="12">
        <f t="shared" si="29"/>
        <v>2289581.7799999998</v>
      </c>
      <c r="I88" s="13"/>
      <c r="J88" s="12"/>
      <c r="K88" s="12"/>
      <c r="L88" s="12">
        <f t="shared" si="30"/>
        <v>0</v>
      </c>
      <c r="M88" s="12"/>
      <c r="N88" s="12"/>
      <c r="O88" s="12"/>
      <c r="P88" s="12">
        <f t="shared" si="31"/>
        <v>0</v>
      </c>
      <c r="Q88" s="13"/>
      <c r="R88" s="12">
        <f t="shared" si="32"/>
        <v>5471000</v>
      </c>
      <c r="S88" s="12">
        <f t="shared" si="32"/>
        <v>3181418.22</v>
      </c>
      <c r="T88" s="14">
        <f>+R88-S88</f>
        <v>2289581.7799999998</v>
      </c>
      <c r="U88" s="17">
        <f t="shared" si="26"/>
        <v>0.58150579784317313</v>
      </c>
    </row>
    <row r="89" spans="2:21" ht="27" customHeight="1">
      <c r="B89" s="18"/>
      <c r="C89" s="10"/>
      <c r="D89" s="10"/>
      <c r="E89" s="22" t="s">
        <v>83</v>
      </c>
      <c r="F89" s="12">
        <v>4680000</v>
      </c>
      <c r="G89" s="12">
        <v>2897671.6399999997</v>
      </c>
      <c r="H89" s="12">
        <f t="shared" si="29"/>
        <v>1782328.3600000003</v>
      </c>
      <c r="I89" s="13"/>
      <c r="J89" s="12"/>
      <c r="K89" s="12"/>
      <c r="L89" s="12">
        <f t="shared" si="30"/>
        <v>0</v>
      </c>
      <c r="M89" s="12"/>
      <c r="N89" s="12"/>
      <c r="O89" s="12"/>
      <c r="P89" s="12">
        <f t="shared" si="31"/>
        <v>0</v>
      </c>
      <c r="Q89" s="13"/>
      <c r="R89" s="12">
        <f t="shared" si="32"/>
        <v>4680000</v>
      </c>
      <c r="S89" s="12">
        <f t="shared" si="32"/>
        <v>2897671.6399999997</v>
      </c>
      <c r="T89" s="14">
        <f>+R89-S89</f>
        <v>1782328.3600000003</v>
      </c>
      <c r="U89" s="17">
        <f t="shared" si="26"/>
        <v>0.61916060683760676</v>
      </c>
    </row>
    <row r="90" spans="2:21" ht="24.95" customHeight="1">
      <c r="B90" s="18"/>
      <c r="C90" s="10"/>
      <c r="D90" s="10"/>
      <c r="E90" s="22"/>
      <c r="F90" s="12"/>
      <c r="G90" s="12"/>
      <c r="H90" s="12"/>
      <c r="I90" s="13"/>
      <c r="J90" s="12"/>
      <c r="K90" s="12"/>
      <c r="L90" s="12"/>
      <c r="M90" s="12"/>
      <c r="N90" s="12"/>
      <c r="O90" s="12"/>
      <c r="P90" s="12"/>
      <c r="Q90" s="13"/>
      <c r="R90" s="12"/>
      <c r="S90" s="12"/>
      <c r="T90" s="14"/>
      <c r="U90" s="17"/>
    </row>
    <row r="91" spans="2:21" ht="24.95" customHeight="1">
      <c r="B91" s="18"/>
      <c r="C91" s="20" t="s">
        <v>84</v>
      </c>
      <c r="D91" s="20"/>
      <c r="E91" s="10"/>
      <c r="F91" s="12"/>
      <c r="G91" s="12"/>
      <c r="H91" s="12"/>
      <c r="I91" s="13"/>
      <c r="J91" s="12"/>
      <c r="K91" s="12"/>
      <c r="L91" s="12"/>
      <c r="M91" s="12"/>
      <c r="N91" s="12"/>
      <c r="O91" s="12"/>
      <c r="P91" s="12"/>
      <c r="Q91" s="13"/>
      <c r="R91" s="12"/>
      <c r="S91" s="12"/>
      <c r="T91" s="14"/>
      <c r="U91" s="17"/>
    </row>
    <row r="92" spans="2:21" ht="24.95" customHeight="1">
      <c r="B92" s="18"/>
      <c r="C92" s="20"/>
      <c r="D92" s="20"/>
      <c r="E92" s="10" t="s">
        <v>85</v>
      </c>
      <c r="F92" s="12">
        <v>17894000</v>
      </c>
      <c r="G92" s="12">
        <v>18043370.309999999</v>
      </c>
      <c r="H92" s="12">
        <f t="shared" ref="H92:H98" si="33">+F92-G92</f>
        <v>-149370.30999999866</v>
      </c>
      <c r="I92" s="13"/>
      <c r="J92" s="12">
        <v>27000000</v>
      </c>
      <c r="K92" s="12">
        <v>27000000</v>
      </c>
      <c r="L92" s="12">
        <f t="shared" ref="L92:L98" si="34">+J92-K92</f>
        <v>0</v>
      </c>
      <c r="M92" s="12"/>
      <c r="N92" s="12">
        <v>9842935.6400000006</v>
      </c>
      <c r="O92" s="12">
        <v>3771547.78</v>
      </c>
      <c r="P92" s="12">
        <f t="shared" ref="P92:P98" si="35">+N92-O92</f>
        <v>6071387.8600000013</v>
      </c>
      <c r="Q92" s="13"/>
      <c r="R92" s="12">
        <f t="shared" ref="R92:S97" si="36">+F92+J92+N92</f>
        <v>54736935.640000001</v>
      </c>
      <c r="S92" s="12">
        <f t="shared" si="36"/>
        <v>48814918.090000004</v>
      </c>
      <c r="T92" s="14">
        <f t="shared" ref="T92:T98" si="37">+R92-S92</f>
        <v>5922017.549999997</v>
      </c>
      <c r="U92" s="17">
        <f t="shared" si="26"/>
        <v>0.89180947963640889</v>
      </c>
    </row>
    <row r="93" spans="2:21" ht="28.5" customHeight="1">
      <c r="B93" s="18"/>
      <c r="C93" s="10"/>
      <c r="D93" s="10"/>
      <c r="E93" s="22" t="s">
        <v>86</v>
      </c>
      <c r="F93" s="12">
        <v>59206360</v>
      </c>
      <c r="G93" s="12">
        <v>60943408.049999997</v>
      </c>
      <c r="H93" s="12">
        <f t="shared" si="33"/>
        <v>-1737048.049999997</v>
      </c>
      <c r="I93" s="13"/>
      <c r="J93" s="12"/>
      <c r="K93" s="12"/>
      <c r="L93" s="12">
        <f t="shared" si="34"/>
        <v>0</v>
      </c>
      <c r="M93" s="12"/>
      <c r="N93" s="12"/>
      <c r="O93" s="12"/>
      <c r="P93" s="12">
        <f t="shared" si="35"/>
        <v>0</v>
      </c>
      <c r="Q93" s="13"/>
      <c r="R93" s="12">
        <f t="shared" si="36"/>
        <v>59206360</v>
      </c>
      <c r="S93" s="12">
        <f t="shared" si="36"/>
        <v>60943408.049999997</v>
      </c>
      <c r="T93" s="14">
        <f t="shared" si="37"/>
        <v>-1737048.049999997</v>
      </c>
      <c r="U93" s="17">
        <f t="shared" si="26"/>
        <v>1.0293388759248161</v>
      </c>
    </row>
    <row r="94" spans="2:21" ht="28.5" customHeight="1">
      <c r="B94" s="18"/>
      <c r="C94" s="10"/>
      <c r="D94" s="10"/>
      <c r="E94" s="22" t="s">
        <v>87</v>
      </c>
      <c r="F94" s="12">
        <v>14076000</v>
      </c>
      <c r="G94" s="12">
        <v>17336097.32</v>
      </c>
      <c r="H94" s="12">
        <f t="shared" si="33"/>
        <v>-3260097.3200000003</v>
      </c>
      <c r="I94" s="13"/>
      <c r="J94" s="12"/>
      <c r="K94" s="12"/>
      <c r="L94" s="12">
        <f t="shared" si="34"/>
        <v>0</v>
      </c>
      <c r="M94" s="12"/>
      <c r="N94" s="12"/>
      <c r="O94" s="12"/>
      <c r="P94" s="12">
        <f t="shared" si="35"/>
        <v>0</v>
      </c>
      <c r="Q94" s="13"/>
      <c r="R94" s="12">
        <f t="shared" si="36"/>
        <v>14076000</v>
      </c>
      <c r="S94" s="12">
        <f t="shared" si="36"/>
        <v>17336097.32</v>
      </c>
      <c r="T94" s="14">
        <f t="shared" si="37"/>
        <v>-3260097.3200000003</v>
      </c>
      <c r="U94" s="17">
        <f t="shared" si="26"/>
        <v>1.2316068002273373</v>
      </c>
    </row>
    <row r="95" spans="2:21" ht="28.5" customHeight="1">
      <c r="B95" s="18"/>
      <c r="C95" s="10"/>
      <c r="D95" s="10"/>
      <c r="E95" s="22" t="s">
        <v>88</v>
      </c>
      <c r="F95" s="12">
        <v>2577000</v>
      </c>
      <c r="G95" s="12">
        <v>5947832.3399999999</v>
      </c>
      <c r="H95" s="12">
        <f t="shared" si="33"/>
        <v>-3370832.34</v>
      </c>
      <c r="I95" s="13"/>
      <c r="J95" s="12"/>
      <c r="K95" s="12"/>
      <c r="L95" s="12">
        <f t="shared" si="34"/>
        <v>0</v>
      </c>
      <c r="M95" s="12"/>
      <c r="N95" s="12"/>
      <c r="O95" s="12"/>
      <c r="P95" s="12">
        <f t="shared" si="35"/>
        <v>0</v>
      </c>
      <c r="Q95" s="13"/>
      <c r="R95" s="12">
        <f t="shared" si="36"/>
        <v>2577000</v>
      </c>
      <c r="S95" s="12">
        <f t="shared" si="36"/>
        <v>5947832.3399999999</v>
      </c>
      <c r="T95" s="14">
        <f t="shared" si="37"/>
        <v>-3370832.34</v>
      </c>
      <c r="U95" s="17">
        <f t="shared" si="26"/>
        <v>2.3080451455180442</v>
      </c>
    </row>
    <row r="96" spans="2:21" ht="24.95" customHeight="1">
      <c r="B96" s="18"/>
      <c r="C96" s="10"/>
      <c r="D96" s="10"/>
      <c r="E96" s="22" t="s">
        <v>89</v>
      </c>
      <c r="F96" s="12">
        <v>9710000</v>
      </c>
      <c r="G96" s="12">
        <v>8093052.6600000001</v>
      </c>
      <c r="H96" s="12">
        <f t="shared" si="33"/>
        <v>1616947.3399999999</v>
      </c>
      <c r="I96" s="13"/>
      <c r="J96" s="12"/>
      <c r="K96" s="12"/>
      <c r="L96" s="12">
        <f t="shared" si="34"/>
        <v>0</v>
      </c>
      <c r="M96" s="12"/>
      <c r="N96" s="12"/>
      <c r="O96" s="12"/>
      <c r="P96" s="12">
        <f t="shared" si="35"/>
        <v>0</v>
      </c>
      <c r="Q96" s="13"/>
      <c r="R96" s="12">
        <f t="shared" si="36"/>
        <v>9710000</v>
      </c>
      <c r="S96" s="12">
        <f t="shared" si="36"/>
        <v>8093052.6600000001</v>
      </c>
      <c r="T96" s="14">
        <f t="shared" si="37"/>
        <v>1616947.3399999999</v>
      </c>
      <c r="U96" s="17">
        <f t="shared" si="26"/>
        <v>0.83347607209062824</v>
      </c>
    </row>
    <row r="97" spans="2:25" ht="24.95" customHeight="1">
      <c r="B97" s="18"/>
      <c r="C97" s="10"/>
      <c r="D97" s="10"/>
      <c r="E97" s="28" t="s">
        <v>90</v>
      </c>
      <c r="F97" s="12">
        <v>1402000</v>
      </c>
      <c r="G97" s="12">
        <v>1402000</v>
      </c>
      <c r="H97" s="12">
        <f t="shared" si="33"/>
        <v>0</v>
      </c>
      <c r="I97" s="13"/>
      <c r="J97" s="12"/>
      <c r="K97" s="12"/>
      <c r="L97" s="12">
        <f t="shared" si="34"/>
        <v>0</v>
      </c>
      <c r="M97" s="12"/>
      <c r="N97" s="12"/>
      <c r="O97" s="12"/>
      <c r="P97" s="12">
        <f t="shared" si="35"/>
        <v>0</v>
      </c>
      <c r="Q97" s="13"/>
      <c r="R97" s="12">
        <f t="shared" si="36"/>
        <v>1402000</v>
      </c>
      <c r="S97" s="12">
        <f t="shared" si="36"/>
        <v>1402000</v>
      </c>
      <c r="T97" s="14">
        <f t="shared" si="37"/>
        <v>0</v>
      </c>
      <c r="U97" s="17">
        <f t="shared" si="26"/>
        <v>1</v>
      </c>
    </row>
    <row r="98" spans="2:25" ht="28.5" customHeight="1">
      <c r="B98" s="18"/>
      <c r="C98" s="10"/>
      <c r="D98" s="10"/>
      <c r="E98" s="43" t="s">
        <v>91</v>
      </c>
      <c r="F98" s="12">
        <v>2173000</v>
      </c>
      <c r="G98" s="12">
        <v>2430842.77</v>
      </c>
      <c r="H98" s="12">
        <f t="shared" si="33"/>
        <v>-257842.77000000002</v>
      </c>
      <c r="I98" s="13"/>
      <c r="J98" s="12"/>
      <c r="K98" s="12"/>
      <c r="L98" s="12">
        <f t="shared" si="34"/>
        <v>0</v>
      </c>
      <c r="M98" s="12"/>
      <c r="N98" s="12">
        <v>142000</v>
      </c>
      <c r="O98" s="12">
        <v>140561.98000000001</v>
      </c>
      <c r="P98" s="12">
        <f t="shared" si="35"/>
        <v>1438.0199999999895</v>
      </c>
      <c r="Q98" s="13"/>
      <c r="R98" s="12">
        <f>+F98+J98+N98</f>
        <v>2315000</v>
      </c>
      <c r="S98" s="12">
        <f>+G98+K98+O98</f>
        <v>2571404.75</v>
      </c>
      <c r="T98" s="14">
        <f t="shared" si="37"/>
        <v>-256404.75</v>
      </c>
      <c r="U98" s="17">
        <f t="shared" si="26"/>
        <v>1.1107579913606911</v>
      </c>
    </row>
    <row r="99" spans="2:25" ht="24.95" customHeight="1">
      <c r="B99" s="18"/>
      <c r="C99" s="10"/>
      <c r="D99" s="10"/>
      <c r="E99" s="43"/>
      <c r="F99" s="12"/>
      <c r="G99" s="12"/>
      <c r="H99" s="12"/>
      <c r="I99" s="13"/>
      <c r="J99" s="12"/>
      <c r="K99" s="12"/>
      <c r="L99" s="12"/>
      <c r="M99" s="12"/>
      <c r="N99" s="12"/>
      <c r="O99" s="12"/>
      <c r="P99" s="12"/>
      <c r="Q99" s="13"/>
      <c r="R99" s="12"/>
      <c r="S99" s="12"/>
      <c r="T99" s="14"/>
      <c r="U99" s="17"/>
    </row>
    <row r="100" spans="2:25" ht="24.95" customHeight="1">
      <c r="B100" s="18"/>
      <c r="C100" s="20" t="s">
        <v>92</v>
      </c>
      <c r="D100" s="20"/>
      <c r="E100" s="10"/>
      <c r="F100" s="12"/>
      <c r="G100" s="12"/>
      <c r="H100" s="12"/>
      <c r="I100" s="13"/>
      <c r="J100" s="12"/>
      <c r="K100" s="12"/>
      <c r="L100" s="12"/>
      <c r="M100" s="12"/>
      <c r="N100" s="12"/>
      <c r="O100" s="12"/>
      <c r="P100" s="12"/>
      <c r="Q100" s="13"/>
      <c r="R100" s="12"/>
      <c r="S100" s="12"/>
      <c r="T100" s="14"/>
      <c r="U100" s="17"/>
    </row>
    <row r="101" spans="2:25" ht="24.95" customHeight="1">
      <c r="B101" s="18"/>
      <c r="C101" s="20"/>
      <c r="D101" s="20"/>
      <c r="E101" s="10" t="s">
        <v>93</v>
      </c>
      <c r="F101" s="12">
        <v>12428000.000000006</v>
      </c>
      <c r="G101" s="12">
        <v>14209904.5</v>
      </c>
      <c r="H101" s="12">
        <f>+F101-G101</f>
        <v>-1781904.4999999944</v>
      </c>
      <c r="I101" s="13"/>
      <c r="J101" s="12">
        <v>101000000</v>
      </c>
      <c r="K101" s="12">
        <v>101000000</v>
      </c>
      <c r="L101" s="12">
        <f>+J101-K101</f>
        <v>0</v>
      </c>
      <c r="M101" s="12"/>
      <c r="N101" s="12"/>
      <c r="O101" s="12"/>
      <c r="P101" s="12">
        <f>+N101-O101</f>
        <v>0</v>
      </c>
      <c r="Q101" s="13"/>
      <c r="R101" s="12">
        <f t="shared" ref="R101:S103" si="38">+F101+J101+N101</f>
        <v>113428000</v>
      </c>
      <c r="S101" s="12">
        <f t="shared" si="38"/>
        <v>115209904.5</v>
      </c>
      <c r="T101" s="14">
        <f>+R101-S101</f>
        <v>-1781904.5</v>
      </c>
      <c r="U101" s="17">
        <f t="shared" si="26"/>
        <v>1.0157095646577565</v>
      </c>
    </row>
    <row r="102" spans="2:25" ht="29.25" customHeight="1">
      <c r="B102" s="18"/>
      <c r="C102" s="10"/>
      <c r="D102" s="10"/>
      <c r="E102" s="22" t="s">
        <v>94</v>
      </c>
      <c r="F102" s="12">
        <v>50054759</v>
      </c>
      <c r="G102" s="12">
        <v>56551213.270000003</v>
      </c>
      <c r="H102" s="12">
        <f>+F102-G102</f>
        <v>-6496454.2700000033</v>
      </c>
      <c r="I102" s="13"/>
      <c r="J102" s="12"/>
      <c r="K102" s="12"/>
      <c r="L102" s="12">
        <f>+J102-K102</f>
        <v>0</v>
      </c>
      <c r="M102" s="12"/>
      <c r="N102" s="12"/>
      <c r="O102" s="12"/>
      <c r="P102" s="12">
        <f>+N102-O102</f>
        <v>0</v>
      </c>
      <c r="Q102" s="13"/>
      <c r="R102" s="12">
        <f t="shared" si="38"/>
        <v>50054759</v>
      </c>
      <c r="S102" s="12">
        <f t="shared" si="38"/>
        <v>56551213.270000003</v>
      </c>
      <c r="T102" s="14">
        <f>+R102-S102</f>
        <v>-6496454.2700000033</v>
      </c>
      <c r="U102" s="17">
        <f t="shared" si="26"/>
        <v>1.1297869453332101</v>
      </c>
    </row>
    <row r="103" spans="2:25" ht="29.25" customHeight="1">
      <c r="B103" s="18"/>
      <c r="C103" s="10"/>
      <c r="D103" s="10"/>
      <c r="E103" s="22" t="s">
        <v>95</v>
      </c>
      <c r="F103" s="12">
        <v>2797290.45</v>
      </c>
      <c r="G103" s="12">
        <v>1899714.86</v>
      </c>
      <c r="H103" s="12">
        <f>+F103-G103</f>
        <v>897575.59000000008</v>
      </c>
      <c r="I103" s="13"/>
      <c r="J103" s="12"/>
      <c r="K103" s="12"/>
      <c r="L103" s="12">
        <f>+J103-K103</f>
        <v>0</v>
      </c>
      <c r="M103" s="12"/>
      <c r="N103" s="12"/>
      <c r="O103" s="12"/>
      <c r="P103" s="12">
        <f>+N103-O103</f>
        <v>0</v>
      </c>
      <c r="Q103" s="13"/>
      <c r="R103" s="12">
        <f t="shared" si="38"/>
        <v>2797290.45</v>
      </c>
      <c r="S103" s="12">
        <f t="shared" si="38"/>
        <v>1899714.86</v>
      </c>
      <c r="T103" s="14">
        <f>+R103-S103</f>
        <v>897575.59000000008</v>
      </c>
      <c r="U103" s="17">
        <f t="shared" si="26"/>
        <v>0.67912678141806837</v>
      </c>
    </row>
    <row r="104" spans="2:25" ht="27.75" customHeight="1">
      <c r="B104" s="18"/>
      <c r="C104" s="10"/>
      <c r="D104" s="10"/>
      <c r="E104" s="31" t="s">
        <v>51</v>
      </c>
      <c r="F104" s="32">
        <f>SUM(F85:F103)</f>
        <v>337122409.44999999</v>
      </c>
      <c r="G104" s="32">
        <f t="shared" ref="G104:S104" si="39">SUM(G85:G103)</f>
        <v>369966090.08999991</v>
      </c>
      <c r="H104" s="32">
        <f t="shared" si="39"/>
        <v>-32843680.639999989</v>
      </c>
      <c r="I104" s="32">
        <f t="shared" si="39"/>
        <v>0</v>
      </c>
      <c r="J104" s="32">
        <f>SUM(J85:J103)</f>
        <v>128000000</v>
      </c>
      <c r="K104" s="32">
        <f>SUM(K85:K103)</f>
        <v>128000000</v>
      </c>
      <c r="L104" s="32">
        <f>SUM(L85:L103)</f>
        <v>0</v>
      </c>
      <c r="M104" s="32">
        <f t="shared" si="39"/>
        <v>0</v>
      </c>
      <c r="N104" s="32">
        <f>SUM(N85:N103)</f>
        <v>9984935.6400000006</v>
      </c>
      <c r="O104" s="32">
        <f>SUM(O85:O103)</f>
        <v>66535023.449999996</v>
      </c>
      <c r="P104" s="32">
        <f>SUM(P85:P103)</f>
        <v>-56550087.809999995</v>
      </c>
      <c r="Q104" s="32">
        <f t="shared" si="39"/>
        <v>0</v>
      </c>
      <c r="R104" s="32">
        <f t="shared" si="39"/>
        <v>475107345.08999997</v>
      </c>
      <c r="S104" s="32">
        <f t="shared" si="39"/>
        <v>564501113.53999996</v>
      </c>
      <c r="T104" s="34">
        <f>SUM(T85:T103)</f>
        <v>-89393768.449999988</v>
      </c>
      <c r="U104" s="17">
        <f t="shared" si="26"/>
        <v>1.1881548862038032</v>
      </c>
    </row>
    <row r="105" spans="2:25" ht="24.95" customHeight="1">
      <c r="B105" s="18"/>
      <c r="C105" s="10"/>
      <c r="D105" s="10"/>
      <c r="E105" s="22"/>
      <c r="F105" s="12"/>
      <c r="G105" s="12"/>
      <c r="H105" s="12"/>
      <c r="I105" s="13"/>
      <c r="J105" s="12"/>
      <c r="K105" s="12"/>
      <c r="L105" s="12"/>
      <c r="M105" s="12"/>
      <c r="N105" s="12"/>
      <c r="O105" s="12"/>
      <c r="P105" s="12"/>
      <c r="Q105" s="13"/>
      <c r="R105" s="12"/>
      <c r="S105" s="12"/>
      <c r="T105" s="14"/>
      <c r="U105" s="17"/>
      <c r="Y105" s="2" t="s">
        <v>96</v>
      </c>
    </row>
    <row r="106" spans="2:25" ht="24.95" customHeight="1">
      <c r="B106" s="18"/>
      <c r="C106" s="24" t="s">
        <v>97</v>
      </c>
      <c r="D106" s="10"/>
      <c r="E106" s="22"/>
      <c r="F106" s="12">
        <f>SUM(F108:F136)</f>
        <v>498211168.65999997</v>
      </c>
      <c r="G106" s="12">
        <f>SUM(G108:G136)</f>
        <v>548769526.99000001</v>
      </c>
      <c r="H106" s="12">
        <f t="shared" ref="H106:T106" si="40">SUM(H108:H136)</f>
        <v>-50558358.330000006</v>
      </c>
      <c r="I106" s="12">
        <f t="shared" si="40"/>
        <v>0</v>
      </c>
      <c r="J106" s="12">
        <f>SUM(J108:J136)</f>
        <v>53711139.259999998</v>
      </c>
      <c r="K106" s="12">
        <f>SUM(K108:K136)</f>
        <v>67461349.25</v>
      </c>
      <c r="L106" s="12">
        <f>SUM(L108:L136)</f>
        <v>-13750209.99</v>
      </c>
      <c r="M106" s="12">
        <f t="shared" si="40"/>
        <v>0</v>
      </c>
      <c r="N106" s="12">
        <f>SUM(N108:N136)</f>
        <v>49753188.799999997</v>
      </c>
      <c r="O106" s="12">
        <f>SUM(O108:O136)</f>
        <v>50526866.159999989</v>
      </c>
      <c r="P106" s="12">
        <f>SUM(P108:P136)</f>
        <v>-773677.35999999684</v>
      </c>
      <c r="Q106" s="12">
        <f t="shared" si="40"/>
        <v>0</v>
      </c>
      <c r="R106" s="12">
        <f t="shared" si="40"/>
        <v>601675496.72000003</v>
      </c>
      <c r="S106" s="12">
        <f t="shared" si="40"/>
        <v>666757742.4000001</v>
      </c>
      <c r="T106" s="14">
        <f t="shared" si="40"/>
        <v>-65082245.679999985</v>
      </c>
      <c r="U106" s="17">
        <f>+S106/R106</f>
        <v>1.1081683499407775</v>
      </c>
    </row>
    <row r="107" spans="2:25" ht="24.95" customHeight="1">
      <c r="B107" s="18"/>
      <c r="C107" s="20" t="s">
        <v>98</v>
      </c>
      <c r="D107" s="20"/>
      <c r="E107" s="10"/>
      <c r="F107" s="12"/>
      <c r="G107" s="12"/>
      <c r="H107" s="12">
        <f t="shared" ref="H107:H115" si="41">+F107-G107</f>
        <v>0</v>
      </c>
      <c r="I107" s="13"/>
      <c r="J107" s="12"/>
      <c r="K107" s="12"/>
      <c r="L107" s="12">
        <f t="shared" ref="L107:L115" si="42">+J107-K107</f>
        <v>0</v>
      </c>
      <c r="M107" s="12"/>
      <c r="N107" s="12"/>
      <c r="O107" s="12"/>
      <c r="P107" s="12">
        <f t="shared" ref="P107:P115" si="43">+N107-O107</f>
        <v>0</v>
      </c>
      <c r="Q107" s="13"/>
      <c r="R107" s="12"/>
      <c r="S107" s="12"/>
      <c r="T107" s="14"/>
      <c r="U107" s="17"/>
    </row>
    <row r="108" spans="2:25" ht="24.95" customHeight="1">
      <c r="B108" s="18"/>
      <c r="C108" s="20"/>
      <c r="D108" s="20"/>
      <c r="E108" s="10" t="s">
        <v>99</v>
      </c>
      <c r="F108" s="12">
        <v>23360000</v>
      </c>
      <c r="G108" s="12">
        <v>35208669.229999997</v>
      </c>
      <c r="H108" s="12">
        <f t="shared" si="41"/>
        <v>-11848669.229999997</v>
      </c>
      <c r="I108" s="13"/>
      <c r="J108" s="12">
        <v>6000000</v>
      </c>
      <c r="K108" s="12">
        <v>5997417.8300000001</v>
      </c>
      <c r="L108" s="12">
        <f t="shared" si="42"/>
        <v>2582.1699999999255</v>
      </c>
      <c r="M108" s="12"/>
      <c r="N108" s="12"/>
      <c r="O108" s="12"/>
      <c r="P108" s="12">
        <f t="shared" si="43"/>
        <v>0</v>
      </c>
      <c r="Q108" s="13"/>
      <c r="R108" s="12">
        <f t="shared" ref="R108:S115" si="44">+F108+J108+N108</f>
        <v>29360000</v>
      </c>
      <c r="S108" s="12">
        <f t="shared" si="44"/>
        <v>41206087.059999995</v>
      </c>
      <c r="T108" s="14">
        <f t="shared" ref="T108:T115" si="45">+R108-S108</f>
        <v>-11846087.059999995</v>
      </c>
      <c r="U108" s="17">
        <f t="shared" si="26"/>
        <v>1.4034770797002722</v>
      </c>
    </row>
    <row r="109" spans="2:25" ht="27" customHeight="1">
      <c r="B109" s="18"/>
      <c r="C109" s="10"/>
      <c r="D109" s="10"/>
      <c r="E109" s="22" t="s">
        <v>100</v>
      </c>
      <c r="F109" s="12">
        <v>19037000</v>
      </c>
      <c r="G109" s="12">
        <v>22793452.399999999</v>
      </c>
      <c r="H109" s="12">
        <f t="shared" si="41"/>
        <v>-3756452.3999999985</v>
      </c>
      <c r="I109" s="13"/>
      <c r="J109" s="12">
        <v>9590462.3900000006</v>
      </c>
      <c r="K109" s="12">
        <v>9590462.3900000006</v>
      </c>
      <c r="L109" s="12">
        <f t="shared" si="42"/>
        <v>0</v>
      </c>
      <c r="M109" s="12"/>
      <c r="N109" s="12"/>
      <c r="O109" s="12"/>
      <c r="P109" s="12">
        <f t="shared" si="43"/>
        <v>0</v>
      </c>
      <c r="Q109" s="13"/>
      <c r="R109" s="12">
        <f t="shared" si="44"/>
        <v>28627462.390000001</v>
      </c>
      <c r="S109" s="12">
        <f t="shared" si="44"/>
        <v>32383914.789999999</v>
      </c>
      <c r="T109" s="14">
        <f t="shared" si="45"/>
        <v>-3756452.3999999985</v>
      </c>
      <c r="U109" s="17">
        <f t="shared" si="26"/>
        <v>1.1312184904419675</v>
      </c>
    </row>
    <row r="110" spans="2:25" ht="27" customHeight="1">
      <c r="B110" s="18"/>
      <c r="C110" s="10"/>
      <c r="D110" s="10"/>
      <c r="E110" s="22" t="s">
        <v>101</v>
      </c>
      <c r="F110" s="12">
        <v>2711000</v>
      </c>
      <c r="G110" s="12">
        <v>2665465.11</v>
      </c>
      <c r="H110" s="12">
        <f t="shared" si="41"/>
        <v>45534.89000000013</v>
      </c>
      <c r="I110" s="13"/>
      <c r="J110" s="12"/>
      <c r="K110" s="12"/>
      <c r="L110" s="12">
        <f t="shared" si="42"/>
        <v>0</v>
      </c>
      <c r="M110" s="12"/>
      <c r="N110" s="12"/>
      <c r="O110" s="12"/>
      <c r="P110" s="12">
        <f t="shared" si="43"/>
        <v>0</v>
      </c>
      <c r="Q110" s="13"/>
      <c r="R110" s="12">
        <f t="shared" si="44"/>
        <v>2711000</v>
      </c>
      <c r="S110" s="12">
        <f t="shared" si="44"/>
        <v>2665465.11</v>
      </c>
      <c r="T110" s="14">
        <f t="shared" si="45"/>
        <v>45534.89000000013</v>
      </c>
      <c r="U110" s="17">
        <f t="shared" si="26"/>
        <v>0.98320365547768351</v>
      </c>
    </row>
    <row r="111" spans="2:25" ht="29.25" customHeight="1">
      <c r="B111" s="18"/>
      <c r="C111" s="10"/>
      <c r="D111" s="10"/>
      <c r="E111" s="22" t="s">
        <v>102</v>
      </c>
      <c r="F111" s="12">
        <v>1374000</v>
      </c>
      <c r="G111" s="12">
        <v>1527745.0500000003</v>
      </c>
      <c r="H111" s="12">
        <f t="shared" si="41"/>
        <v>-153745.05000000028</v>
      </c>
      <c r="I111" s="13"/>
      <c r="J111" s="12"/>
      <c r="K111" s="12"/>
      <c r="L111" s="12">
        <f t="shared" si="42"/>
        <v>0</v>
      </c>
      <c r="M111" s="12"/>
      <c r="N111" s="12"/>
      <c r="O111" s="12"/>
      <c r="P111" s="12">
        <f t="shared" si="43"/>
        <v>0</v>
      </c>
      <c r="Q111" s="13"/>
      <c r="R111" s="12">
        <f t="shared" si="44"/>
        <v>1374000</v>
      </c>
      <c r="S111" s="12">
        <f t="shared" si="44"/>
        <v>1527745.0500000003</v>
      </c>
      <c r="T111" s="14">
        <f t="shared" si="45"/>
        <v>-153745.05000000028</v>
      </c>
      <c r="U111" s="17">
        <f t="shared" si="26"/>
        <v>1.1118959606986902</v>
      </c>
    </row>
    <row r="112" spans="2:25" ht="24.95" customHeight="1">
      <c r="B112" s="18"/>
      <c r="C112" s="10"/>
      <c r="D112" s="10"/>
      <c r="E112" s="28" t="s">
        <v>103</v>
      </c>
      <c r="F112" s="12">
        <v>938000</v>
      </c>
      <c r="G112" s="12">
        <v>1300047.1200000001</v>
      </c>
      <c r="H112" s="12">
        <f t="shared" si="41"/>
        <v>-362047.12000000011</v>
      </c>
      <c r="I112" s="13"/>
      <c r="J112" s="12"/>
      <c r="K112" s="12"/>
      <c r="L112" s="12">
        <f t="shared" si="42"/>
        <v>0</v>
      </c>
      <c r="M112" s="12"/>
      <c r="N112" s="12"/>
      <c r="O112" s="12"/>
      <c r="P112" s="12">
        <f t="shared" si="43"/>
        <v>0</v>
      </c>
      <c r="Q112" s="13"/>
      <c r="R112" s="12">
        <f t="shared" si="44"/>
        <v>938000</v>
      </c>
      <c r="S112" s="12">
        <f t="shared" si="44"/>
        <v>1300047.1200000001</v>
      </c>
      <c r="T112" s="14">
        <f t="shared" si="45"/>
        <v>-362047.12000000011</v>
      </c>
      <c r="U112" s="17">
        <f t="shared" si="26"/>
        <v>1.3859777398720683</v>
      </c>
    </row>
    <row r="113" spans="2:22" ht="24.95" customHeight="1">
      <c r="B113" s="18"/>
      <c r="C113" s="10"/>
      <c r="D113" s="10"/>
      <c r="E113" s="22" t="s">
        <v>104</v>
      </c>
      <c r="F113" s="12">
        <v>2928000</v>
      </c>
      <c r="G113" s="12">
        <v>4308627.54</v>
      </c>
      <c r="H113" s="12">
        <f t="shared" si="41"/>
        <v>-1380627.54</v>
      </c>
      <c r="I113" s="13"/>
      <c r="J113" s="12"/>
      <c r="K113" s="12"/>
      <c r="L113" s="12">
        <f t="shared" si="42"/>
        <v>0</v>
      </c>
      <c r="M113" s="12"/>
      <c r="N113" s="12"/>
      <c r="O113" s="12"/>
      <c r="P113" s="12">
        <f t="shared" si="43"/>
        <v>0</v>
      </c>
      <c r="Q113" s="13"/>
      <c r="R113" s="12">
        <f t="shared" si="44"/>
        <v>2928000</v>
      </c>
      <c r="S113" s="12">
        <f t="shared" si="44"/>
        <v>4308627.54</v>
      </c>
      <c r="T113" s="14">
        <f t="shared" si="45"/>
        <v>-1380627.54</v>
      </c>
      <c r="U113" s="17">
        <f t="shared" si="26"/>
        <v>1.4715257991803279</v>
      </c>
    </row>
    <row r="114" spans="2:22" ht="29.25" customHeight="1">
      <c r="B114" s="18"/>
      <c r="C114" s="10"/>
      <c r="D114" s="10"/>
      <c r="E114" s="22" t="s">
        <v>105</v>
      </c>
      <c r="F114" s="12">
        <v>6374639</v>
      </c>
      <c r="G114" s="12">
        <v>17315207.579999998</v>
      </c>
      <c r="H114" s="12">
        <f t="shared" si="41"/>
        <v>-10940568.579999998</v>
      </c>
      <c r="I114" s="13"/>
      <c r="J114" s="12"/>
      <c r="K114" s="12"/>
      <c r="L114" s="12">
        <f t="shared" si="42"/>
        <v>0</v>
      </c>
      <c r="M114" s="12"/>
      <c r="N114" s="12"/>
      <c r="O114" s="12"/>
      <c r="P114" s="12">
        <f t="shared" si="43"/>
        <v>0</v>
      </c>
      <c r="Q114" s="13"/>
      <c r="R114" s="12">
        <f t="shared" si="44"/>
        <v>6374639</v>
      </c>
      <c r="S114" s="12">
        <f t="shared" si="44"/>
        <v>17315207.579999998</v>
      </c>
      <c r="T114" s="14">
        <f t="shared" si="45"/>
        <v>-10940568.579999998</v>
      </c>
      <c r="U114" s="17">
        <f t="shared" si="26"/>
        <v>2.7162648080934462</v>
      </c>
    </row>
    <row r="115" spans="2:22" ht="29.25" customHeight="1">
      <c r="B115" s="18"/>
      <c r="C115" s="10"/>
      <c r="D115" s="10"/>
      <c r="E115" s="21" t="s">
        <v>106</v>
      </c>
      <c r="F115" s="12">
        <v>13276000</v>
      </c>
      <c r="G115" s="12">
        <v>18952907.850000001</v>
      </c>
      <c r="H115" s="12">
        <f t="shared" si="41"/>
        <v>-5676907.8500000015</v>
      </c>
      <c r="I115" s="13"/>
      <c r="J115" s="12"/>
      <c r="K115" s="12"/>
      <c r="L115" s="12">
        <f t="shared" si="42"/>
        <v>0</v>
      </c>
      <c r="M115" s="12"/>
      <c r="N115" s="12"/>
      <c r="O115" s="12"/>
      <c r="P115" s="12">
        <f t="shared" si="43"/>
        <v>0</v>
      </c>
      <c r="Q115" s="13"/>
      <c r="R115" s="12">
        <f t="shared" si="44"/>
        <v>13276000</v>
      </c>
      <c r="S115" s="12">
        <f t="shared" si="44"/>
        <v>18952907.850000001</v>
      </c>
      <c r="T115" s="14">
        <f t="shared" si="45"/>
        <v>-5676907.8500000015</v>
      </c>
      <c r="U115" s="17">
        <f t="shared" si="26"/>
        <v>1.4276067979813198</v>
      </c>
    </row>
    <row r="116" spans="2:22" ht="24.95" customHeight="1">
      <c r="B116" s="18"/>
      <c r="C116" s="10"/>
      <c r="D116" s="10"/>
      <c r="E116" s="28"/>
      <c r="F116" s="12"/>
      <c r="G116" s="12"/>
      <c r="H116" s="12"/>
      <c r="I116" s="13"/>
      <c r="J116" s="12"/>
      <c r="K116" s="12"/>
      <c r="L116" s="12"/>
      <c r="M116" s="12"/>
      <c r="N116" s="12"/>
      <c r="O116" s="12"/>
      <c r="P116" s="12"/>
      <c r="Q116" s="13"/>
      <c r="R116" s="12"/>
      <c r="S116" s="12"/>
      <c r="T116" s="14"/>
      <c r="U116" s="17"/>
    </row>
    <row r="117" spans="2:22" ht="24.95" customHeight="1">
      <c r="B117" s="18"/>
      <c r="C117" s="20" t="s">
        <v>107</v>
      </c>
      <c r="D117" s="20"/>
      <c r="E117" s="10"/>
      <c r="F117" s="12"/>
      <c r="G117" s="12"/>
      <c r="H117" s="12"/>
      <c r="I117" s="13"/>
      <c r="J117" s="12"/>
      <c r="K117" s="12"/>
      <c r="L117" s="12"/>
      <c r="M117" s="12"/>
      <c r="N117" s="12"/>
      <c r="O117" s="12"/>
      <c r="P117" s="12"/>
      <c r="Q117" s="13"/>
      <c r="R117" s="12"/>
      <c r="S117" s="12"/>
      <c r="T117" s="14"/>
      <c r="U117" s="17"/>
    </row>
    <row r="118" spans="2:22" ht="24.95" customHeight="1">
      <c r="B118" s="18"/>
      <c r="C118" s="20"/>
      <c r="D118" s="20"/>
      <c r="E118" s="10" t="s">
        <v>108</v>
      </c>
      <c r="F118" s="12">
        <v>50658000</v>
      </c>
      <c r="G118" s="12">
        <v>120850171.62</v>
      </c>
      <c r="H118" s="12">
        <f>+F118-G118</f>
        <v>-70192171.620000005</v>
      </c>
      <c r="I118" s="13"/>
      <c r="J118" s="12">
        <v>0</v>
      </c>
      <c r="K118" s="12">
        <v>0</v>
      </c>
      <c r="L118" s="12">
        <f>+J118-K118</f>
        <v>0</v>
      </c>
      <c r="M118" s="12"/>
      <c r="N118" s="12">
        <v>45254672</v>
      </c>
      <c r="O118" s="12">
        <v>45254671.229999997</v>
      </c>
      <c r="P118" s="12">
        <f>+N118-O118</f>
        <v>0.77000000327825546</v>
      </c>
      <c r="Q118" s="13"/>
      <c r="R118" s="12">
        <f t="shared" ref="R118:S121" si="46">+F118+J118+N118</f>
        <v>95912672</v>
      </c>
      <c r="S118" s="12">
        <f t="shared" si="46"/>
        <v>166104842.84999999</v>
      </c>
      <c r="T118" s="14">
        <f>+R118-S118</f>
        <v>-70192170.849999994</v>
      </c>
      <c r="U118" s="17">
        <f t="shared" si="26"/>
        <v>1.7318341715055128</v>
      </c>
    </row>
    <row r="119" spans="2:22" ht="28.5" customHeight="1">
      <c r="B119" s="18"/>
      <c r="C119" s="10"/>
      <c r="D119" s="10"/>
      <c r="E119" s="21" t="s">
        <v>109</v>
      </c>
      <c r="F119" s="12">
        <v>24038263.66</v>
      </c>
      <c r="G119" s="12">
        <v>24885669.18</v>
      </c>
      <c r="H119" s="12">
        <f>+F119-G119</f>
        <v>-847405.51999999955</v>
      </c>
      <c r="I119" s="13"/>
      <c r="J119" s="12">
        <v>8394640.4499999993</v>
      </c>
      <c r="K119" s="12">
        <v>8394640.4499999993</v>
      </c>
      <c r="L119" s="12">
        <f>+J119-K119</f>
        <v>0</v>
      </c>
      <c r="M119" s="12"/>
      <c r="N119" s="12">
        <v>2503752.7999999998</v>
      </c>
      <c r="O119" s="12">
        <v>2503750.5099999998</v>
      </c>
      <c r="P119" s="12">
        <f>+N119-O119</f>
        <v>2.2900000000372529</v>
      </c>
      <c r="Q119" s="13"/>
      <c r="R119" s="12">
        <f t="shared" si="46"/>
        <v>34936656.909999996</v>
      </c>
      <c r="S119" s="12">
        <f t="shared" si="46"/>
        <v>35784060.140000001</v>
      </c>
      <c r="T119" s="14">
        <f>+R119-S119</f>
        <v>-847403.23000000417</v>
      </c>
      <c r="U119" s="17">
        <f t="shared" si="26"/>
        <v>1.0242554183756905</v>
      </c>
    </row>
    <row r="120" spans="2:22" ht="28.5" customHeight="1">
      <c r="B120" s="18"/>
      <c r="C120" s="10"/>
      <c r="D120" s="10"/>
      <c r="E120" s="21" t="s">
        <v>110</v>
      </c>
      <c r="F120" s="12">
        <v>10570462</v>
      </c>
      <c r="G120" s="12">
        <v>13029158.42</v>
      </c>
      <c r="H120" s="12">
        <f>+F120-G120</f>
        <v>-2458696.42</v>
      </c>
      <c r="I120" s="13"/>
      <c r="J120" s="12">
        <v>6226036.4199999999</v>
      </c>
      <c r="K120" s="12">
        <v>6226036.4199999999</v>
      </c>
      <c r="L120" s="12">
        <f>+J120-K120</f>
        <v>0</v>
      </c>
      <c r="M120" s="12"/>
      <c r="N120" s="12">
        <v>0</v>
      </c>
      <c r="O120" s="12">
        <v>0</v>
      </c>
      <c r="P120" s="12">
        <f>+N120-O120</f>
        <v>0</v>
      </c>
      <c r="Q120" s="13"/>
      <c r="R120" s="12">
        <f t="shared" si="46"/>
        <v>16796498.420000002</v>
      </c>
      <c r="S120" s="12">
        <f t="shared" si="46"/>
        <v>19255194.84</v>
      </c>
      <c r="T120" s="14">
        <f>+R120-S120</f>
        <v>-2458696.4199999981</v>
      </c>
      <c r="U120" s="17">
        <f t="shared" si="26"/>
        <v>1.1463814872909681</v>
      </c>
    </row>
    <row r="121" spans="2:22" ht="28.5" customHeight="1">
      <c r="B121" s="18"/>
      <c r="C121" s="10"/>
      <c r="D121" s="10"/>
      <c r="E121" s="22" t="s">
        <v>111</v>
      </c>
      <c r="F121" s="12">
        <v>20220000</v>
      </c>
      <c r="G121" s="12">
        <v>8495673.5299999993</v>
      </c>
      <c r="H121" s="12">
        <f>+F121-G121</f>
        <v>11724326.470000001</v>
      </c>
      <c r="I121" s="13"/>
      <c r="J121" s="12"/>
      <c r="K121" s="12"/>
      <c r="L121" s="12">
        <f>+J121-K121</f>
        <v>0</v>
      </c>
      <c r="M121" s="12"/>
      <c r="N121" s="12">
        <v>194695</v>
      </c>
      <c r="O121" s="12">
        <v>194695</v>
      </c>
      <c r="P121" s="12">
        <f>+N121-O121</f>
        <v>0</v>
      </c>
      <c r="Q121" s="13"/>
      <c r="R121" s="12">
        <f t="shared" si="46"/>
        <v>20414695</v>
      </c>
      <c r="S121" s="12">
        <f t="shared" si="46"/>
        <v>8690368.5299999993</v>
      </c>
      <c r="T121" s="14">
        <f>+R121-S121</f>
        <v>11724326.470000001</v>
      </c>
      <c r="U121" s="17">
        <f t="shared" si="26"/>
        <v>0.42569181317673371</v>
      </c>
    </row>
    <row r="122" spans="2:22" ht="24.95" customHeight="1">
      <c r="B122" s="18"/>
      <c r="C122" s="10"/>
      <c r="D122" s="10"/>
      <c r="E122" s="22"/>
      <c r="F122" s="12"/>
      <c r="G122" s="12"/>
      <c r="H122" s="12"/>
      <c r="I122" s="13"/>
      <c r="J122" s="12"/>
      <c r="K122" s="12"/>
      <c r="L122" s="12"/>
      <c r="M122" s="12"/>
      <c r="N122" s="12"/>
      <c r="O122" s="12"/>
      <c r="P122" s="12"/>
      <c r="Q122" s="13"/>
      <c r="R122" s="12"/>
      <c r="S122" s="12"/>
      <c r="T122" s="14"/>
      <c r="U122" s="17"/>
    </row>
    <row r="123" spans="2:22" ht="24.95" customHeight="1">
      <c r="B123" s="18"/>
      <c r="C123" s="20" t="s">
        <v>112</v>
      </c>
      <c r="D123" s="20"/>
      <c r="E123" s="10"/>
      <c r="F123" s="12"/>
      <c r="G123" s="12"/>
      <c r="H123" s="12"/>
      <c r="I123" s="13"/>
      <c r="J123" s="12"/>
      <c r="K123" s="12"/>
      <c r="L123" s="12"/>
      <c r="M123" s="12"/>
      <c r="N123" s="12"/>
      <c r="O123" s="12"/>
      <c r="P123" s="12"/>
      <c r="Q123" s="13"/>
      <c r="R123" s="12"/>
      <c r="S123" s="12"/>
      <c r="T123" s="14"/>
      <c r="U123" s="17"/>
    </row>
    <row r="124" spans="2:22" ht="24.95" customHeight="1">
      <c r="B124" s="18"/>
      <c r="C124" s="20"/>
      <c r="D124" s="20"/>
      <c r="E124" s="10" t="s">
        <v>113</v>
      </c>
      <c r="F124" s="12">
        <v>78539000</v>
      </c>
      <c r="G124" s="12">
        <v>44543364.280000001</v>
      </c>
      <c r="H124" s="12">
        <f>+F124-G124</f>
        <v>33995635.719999999</v>
      </c>
      <c r="I124" s="13"/>
      <c r="J124" s="12">
        <v>3500000</v>
      </c>
      <c r="K124" s="12">
        <v>16549797.390000001</v>
      </c>
      <c r="L124" s="12">
        <f>+J124-K124</f>
        <v>-13049797.390000001</v>
      </c>
      <c r="M124" s="12"/>
      <c r="N124" s="12"/>
      <c r="O124" s="12"/>
      <c r="P124" s="12">
        <f>+N124-O124</f>
        <v>0</v>
      </c>
      <c r="Q124" s="13"/>
      <c r="R124" s="12">
        <f t="shared" ref="R124:S126" si="47">+F124+J124+N124</f>
        <v>82039000</v>
      </c>
      <c r="S124" s="12">
        <f t="shared" si="47"/>
        <v>61093161.670000002</v>
      </c>
      <c r="T124" s="14">
        <f>+R124-S124</f>
        <v>20945838.329999998</v>
      </c>
      <c r="U124" s="17">
        <f t="shared" si="26"/>
        <v>0.74468437779592633</v>
      </c>
      <c r="V124" s="2" t="s">
        <v>138</v>
      </c>
    </row>
    <row r="125" spans="2:22" ht="24.95" customHeight="1">
      <c r="B125" s="18"/>
      <c r="C125" s="10"/>
      <c r="D125" s="10"/>
      <c r="E125" s="22" t="s">
        <v>115</v>
      </c>
      <c r="F125" s="12">
        <v>41976343</v>
      </c>
      <c r="G125" s="12">
        <v>42295751.43</v>
      </c>
      <c r="H125" s="12">
        <f>+F125-G125</f>
        <v>-319408.4299999997</v>
      </c>
      <c r="I125" s="13"/>
      <c r="J125" s="12"/>
      <c r="K125" s="12"/>
      <c r="L125" s="12">
        <f>+J125-K125</f>
        <v>0</v>
      </c>
      <c r="M125" s="12"/>
      <c r="N125" s="12">
        <v>510740</v>
      </c>
      <c r="O125" s="12">
        <v>1284420.8700000001</v>
      </c>
      <c r="P125" s="12">
        <f>+N125-O125</f>
        <v>-773680.87000000011</v>
      </c>
      <c r="Q125" s="13"/>
      <c r="R125" s="12">
        <f t="shared" si="47"/>
        <v>42487083</v>
      </c>
      <c r="S125" s="12">
        <f t="shared" si="47"/>
        <v>43580172.299999997</v>
      </c>
      <c r="T125" s="14">
        <f>+R125-S125</f>
        <v>-1093089.299999997</v>
      </c>
      <c r="U125" s="17">
        <f t="shared" si="26"/>
        <v>1.0257275675997808</v>
      </c>
    </row>
    <row r="126" spans="2:22" ht="28.5" customHeight="1">
      <c r="B126" s="18"/>
      <c r="C126" s="10"/>
      <c r="D126" s="10"/>
      <c r="E126" s="22" t="s">
        <v>116</v>
      </c>
      <c r="F126" s="12">
        <v>26659461</v>
      </c>
      <c r="G126" s="12">
        <v>26574879.099999998</v>
      </c>
      <c r="H126" s="12">
        <f>+F126-G126</f>
        <v>84581.900000002235</v>
      </c>
      <c r="I126" s="13"/>
      <c r="J126" s="12"/>
      <c r="K126" s="12"/>
      <c r="L126" s="12">
        <f>+J126-K126</f>
        <v>0</v>
      </c>
      <c r="M126" s="12"/>
      <c r="N126" s="12"/>
      <c r="O126" s="12"/>
      <c r="P126" s="12">
        <f>+N126-O126</f>
        <v>0</v>
      </c>
      <c r="Q126" s="13"/>
      <c r="R126" s="12">
        <f t="shared" si="47"/>
        <v>26659461</v>
      </c>
      <c r="S126" s="12">
        <f t="shared" si="47"/>
        <v>26574879.099999998</v>
      </c>
      <c r="T126" s="14">
        <f>+R126-S126</f>
        <v>84581.900000002235</v>
      </c>
      <c r="U126" s="17">
        <f t="shared" si="26"/>
        <v>0.99682732145259789</v>
      </c>
    </row>
    <row r="127" spans="2:22" ht="24.95" customHeight="1">
      <c r="B127" s="18"/>
      <c r="C127" s="10"/>
      <c r="D127" s="10"/>
      <c r="E127" s="22"/>
      <c r="F127" s="12"/>
      <c r="G127" s="12"/>
      <c r="H127" s="12"/>
      <c r="I127" s="13"/>
      <c r="J127" s="12"/>
      <c r="K127" s="12"/>
      <c r="L127" s="12"/>
      <c r="M127" s="12"/>
      <c r="N127" s="12"/>
      <c r="O127" s="12"/>
      <c r="P127" s="12"/>
      <c r="Q127" s="13"/>
      <c r="R127" s="12"/>
      <c r="S127" s="12"/>
      <c r="T127" s="14"/>
      <c r="U127" s="17"/>
    </row>
    <row r="128" spans="2:22" ht="24.95" customHeight="1">
      <c r="B128" s="18"/>
      <c r="C128" s="20" t="s">
        <v>117</v>
      </c>
      <c r="D128" s="20"/>
      <c r="E128" s="10"/>
      <c r="F128" s="12"/>
      <c r="G128" s="12"/>
      <c r="H128" s="12"/>
      <c r="I128" s="13"/>
      <c r="J128" s="12"/>
      <c r="K128" s="12"/>
      <c r="L128" s="12"/>
      <c r="M128" s="12"/>
      <c r="N128" s="12"/>
      <c r="O128" s="12"/>
      <c r="P128" s="12"/>
      <c r="Q128" s="13"/>
      <c r="R128" s="12"/>
      <c r="S128" s="12"/>
      <c r="T128" s="14"/>
      <c r="U128" s="17"/>
    </row>
    <row r="129" spans="2:21" ht="24.95" customHeight="1">
      <c r="B129" s="18"/>
      <c r="C129" s="20"/>
      <c r="D129" s="20"/>
      <c r="E129" s="10" t="s">
        <v>118</v>
      </c>
      <c r="F129" s="12">
        <v>23281000</v>
      </c>
      <c r="G129" s="12">
        <v>23316138.27</v>
      </c>
      <c r="H129" s="12">
        <f>+F129-G129</f>
        <v>-35138.269999999553</v>
      </c>
      <c r="I129" s="13"/>
      <c r="J129" s="12">
        <v>20000000</v>
      </c>
      <c r="K129" s="12">
        <v>20000000</v>
      </c>
      <c r="L129" s="12">
        <f>+J129-K129</f>
        <v>0</v>
      </c>
      <c r="M129" s="12"/>
      <c r="N129" s="12"/>
      <c r="O129" s="12"/>
      <c r="P129" s="12">
        <f>+N129-O129</f>
        <v>0</v>
      </c>
      <c r="Q129" s="13"/>
      <c r="R129" s="12">
        <f t="shared" ref="R129:S131" si="48">+F129+J129+N129</f>
        <v>43281000</v>
      </c>
      <c r="S129" s="12">
        <f t="shared" si="48"/>
        <v>43316138.269999996</v>
      </c>
      <c r="T129" s="14">
        <f>+R129-S129</f>
        <v>-35138.269999995828</v>
      </c>
      <c r="U129" s="17">
        <f t="shared" si="26"/>
        <v>1.0008118636353134</v>
      </c>
    </row>
    <row r="130" spans="2:21" ht="27.75" customHeight="1">
      <c r="B130" s="18"/>
      <c r="C130" s="10"/>
      <c r="D130" s="10"/>
      <c r="E130" s="22" t="s">
        <v>119</v>
      </c>
      <c r="F130" s="12">
        <v>21215000</v>
      </c>
      <c r="G130" s="12">
        <v>30645298.440000001</v>
      </c>
      <c r="H130" s="12">
        <f>+F130-G130</f>
        <v>-9430298.4400000013</v>
      </c>
      <c r="I130" s="13"/>
      <c r="J130" s="12"/>
      <c r="K130" s="12"/>
      <c r="L130" s="12">
        <f>+J130-K130</f>
        <v>0</v>
      </c>
      <c r="M130" s="12"/>
      <c r="N130" s="12">
        <v>598259</v>
      </c>
      <c r="O130" s="12">
        <v>598258.55000000005</v>
      </c>
      <c r="P130" s="12">
        <f>+N130-O130</f>
        <v>0.44999999995343387</v>
      </c>
      <c r="Q130" s="13"/>
      <c r="R130" s="12">
        <f t="shared" si="48"/>
        <v>21813259</v>
      </c>
      <c r="S130" s="12">
        <f t="shared" si="48"/>
        <v>31243556.990000002</v>
      </c>
      <c r="T130" s="14">
        <f>+R130-S130</f>
        <v>-9430297.9900000021</v>
      </c>
      <c r="U130" s="17">
        <f t="shared" si="26"/>
        <v>1.4323195351047728</v>
      </c>
    </row>
    <row r="131" spans="2:21" ht="24.95" customHeight="1">
      <c r="B131" s="18"/>
      <c r="C131" s="10"/>
      <c r="D131" s="10"/>
      <c r="E131" s="28" t="s">
        <v>120</v>
      </c>
      <c r="F131" s="12">
        <v>1398000</v>
      </c>
      <c r="G131" s="12">
        <v>7500294.5700000003</v>
      </c>
      <c r="H131" s="12">
        <f>+F131-G131</f>
        <v>-6102294.5700000003</v>
      </c>
      <c r="I131" s="13"/>
      <c r="J131" s="12"/>
      <c r="K131" s="12"/>
      <c r="L131" s="12">
        <f>+J131-K131</f>
        <v>0</v>
      </c>
      <c r="M131" s="12"/>
      <c r="N131" s="12"/>
      <c r="O131" s="12"/>
      <c r="P131" s="12">
        <f>+N131-O131</f>
        <v>0</v>
      </c>
      <c r="Q131" s="13"/>
      <c r="R131" s="12">
        <f t="shared" si="48"/>
        <v>1398000</v>
      </c>
      <c r="S131" s="12">
        <f t="shared" si="48"/>
        <v>7500294.5700000003</v>
      </c>
      <c r="T131" s="14">
        <f>+R131-S131</f>
        <v>-6102294.5700000003</v>
      </c>
      <c r="U131" s="17">
        <f t="shared" si="26"/>
        <v>5.3650175751072959</v>
      </c>
    </row>
    <row r="132" spans="2:21" ht="24.95" customHeight="1">
      <c r="B132" s="18"/>
      <c r="C132" s="10"/>
      <c r="D132" s="10"/>
      <c r="E132" s="28"/>
      <c r="F132" s="12"/>
      <c r="G132" s="12"/>
      <c r="H132" s="12"/>
      <c r="I132" s="13"/>
      <c r="J132" s="12"/>
      <c r="K132" s="12"/>
      <c r="L132" s="12"/>
      <c r="M132" s="12"/>
      <c r="N132" s="12"/>
      <c r="O132" s="12"/>
      <c r="P132" s="12"/>
      <c r="Q132" s="13"/>
      <c r="R132" s="12"/>
      <c r="S132" s="12"/>
      <c r="T132" s="14"/>
      <c r="U132" s="17"/>
    </row>
    <row r="133" spans="2:21" ht="24.95" customHeight="1">
      <c r="B133" s="18"/>
      <c r="C133" s="20" t="s">
        <v>121</v>
      </c>
      <c r="D133" s="20"/>
      <c r="E133" s="10"/>
      <c r="F133" s="12"/>
      <c r="G133" s="12"/>
      <c r="H133" s="12"/>
      <c r="I133" s="13"/>
      <c r="J133" s="12"/>
      <c r="K133" s="12"/>
      <c r="L133" s="12"/>
      <c r="M133" s="12"/>
      <c r="N133" s="12"/>
      <c r="O133" s="12"/>
      <c r="P133" s="12"/>
      <c r="Q133" s="13"/>
      <c r="R133" s="12"/>
      <c r="S133" s="12"/>
      <c r="T133" s="14"/>
      <c r="U133" s="17"/>
    </row>
    <row r="134" spans="2:21" ht="24.95" customHeight="1">
      <c r="B134" s="18"/>
      <c r="C134" s="20"/>
      <c r="D134" s="20"/>
      <c r="E134" s="10" t="s">
        <v>122</v>
      </c>
      <c r="F134" s="12">
        <v>81552000</v>
      </c>
      <c r="G134" s="12">
        <v>82203705.200000003</v>
      </c>
      <c r="H134" s="12">
        <f>+F134-G134</f>
        <v>-651705.20000000298</v>
      </c>
      <c r="I134" s="13"/>
      <c r="J134" s="12"/>
      <c r="K134" s="12">
        <v>702994.77</v>
      </c>
      <c r="L134" s="12">
        <f>+J134-K134</f>
        <v>-702994.77</v>
      </c>
      <c r="M134" s="12"/>
      <c r="N134" s="12"/>
      <c r="O134" s="12"/>
      <c r="P134" s="12">
        <f>+N134-O134</f>
        <v>0</v>
      </c>
      <c r="Q134" s="13"/>
      <c r="R134" s="12">
        <f t="shared" ref="R134:S136" si="49">+F134+J134+N134</f>
        <v>81552000</v>
      </c>
      <c r="S134" s="12">
        <f t="shared" si="49"/>
        <v>82906699.969999999</v>
      </c>
      <c r="T134" s="14">
        <f>+R134-S134</f>
        <v>-1354699.9699999988</v>
      </c>
      <c r="U134" s="17">
        <f t="shared" si="26"/>
        <v>1.01661148678144</v>
      </c>
    </row>
    <row r="135" spans="2:21" ht="27.75" customHeight="1">
      <c r="B135" s="18"/>
      <c r="C135" s="10"/>
      <c r="D135" s="10"/>
      <c r="E135" s="22" t="s">
        <v>123</v>
      </c>
      <c r="F135" s="12">
        <v>37265000</v>
      </c>
      <c r="G135" s="12">
        <v>8834629</v>
      </c>
      <c r="H135" s="12">
        <f>+F135-G135</f>
        <v>28430371</v>
      </c>
      <c r="I135" s="13"/>
      <c r="J135" s="12"/>
      <c r="K135" s="12"/>
      <c r="L135" s="12">
        <f>+J135-K135</f>
        <v>0</v>
      </c>
      <c r="M135" s="12"/>
      <c r="N135" s="12">
        <v>691070</v>
      </c>
      <c r="O135" s="12">
        <v>691070</v>
      </c>
      <c r="P135" s="12">
        <f>+N135-O135</f>
        <v>0</v>
      </c>
      <c r="Q135" s="13"/>
      <c r="R135" s="12">
        <f t="shared" si="49"/>
        <v>37956070</v>
      </c>
      <c r="S135" s="12">
        <f t="shared" si="49"/>
        <v>9525699</v>
      </c>
      <c r="T135" s="14">
        <f>+R135-S135</f>
        <v>28430371</v>
      </c>
      <c r="U135" s="17">
        <f t="shared" si="26"/>
        <v>0.25096641986380569</v>
      </c>
    </row>
    <row r="136" spans="2:21" ht="27.75" customHeight="1">
      <c r="B136" s="18"/>
      <c r="C136" s="10"/>
      <c r="D136" s="10"/>
      <c r="E136" s="22" t="s">
        <v>124</v>
      </c>
      <c r="F136" s="12">
        <v>10840000</v>
      </c>
      <c r="G136" s="12">
        <v>11522672.07</v>
      </c>
      <c r="H136" s="12">
        <f>+F136-G136</f>
        <v>-682672.0700000003</v>
      </c>
      <c r="I136" s="13"/>
      <c r="J136" s="12"/>
      <c r="K136" s="12"/>
      <c r="L136" s="12">
        <f>+J136-K136</f>
        <v>0</v>
      </c>
      <c r="M136" s="12"/>
      <c r="N136" s="12"/>
      <c r="O136" s="12"/>
      <c r="P136" s="12">
        <f>+N136-O136</f>
        <v>0</v>
      </c>
      <c r="Q136" s="13"/>
      <c r="R136" s="12">
        <f t="shared" si="49"/>
        <v>10840000</v>
      </c>
      <c r="S136" s="12">
        <f t="shared" si="49"/>
        <v>11522672.07</v>
      </c>
      <c r="T136" s="14">
        <f>+R136-S136</f>
        <v>-682672.0700000003</v>
      </c>
      <c r="U136" s="17">
        <f t="shared" si="26"/>
        <v>1.0629771282287823</v>
      </c>
    </row>
    <row r="137" spans="2:21" ht="27.75" customHeight="1">
      <c r="B137" s="18"/>
      <c r="C137" s="10"/>
      <c r="D137" s="10"/>
      <c r="E137" s="31" t="s">
        <v>51</v>
      </c>
      <c r="F137" s="32">
        <f>SUM(F108:F136)</f>
        <v>498211168.65999997</v>
      </c>
      <c r="G137" s="32">
        <f t="shared" ref="G137:S137" si="50">SUM(G108:G136)</f>
        <v>548769526.99000001</v>
      </c>
      <c r="H137" s="32">
        <f t="shared" si="50"/>
        <v>-50558358.330000006</v>
      </c>
      <c r="I137" s="32">
        <f t="shared" si="50"/>
        <v>0</v>
      </c>
      <c r="J137" s="32">
        <f>SUM(J108:J136)</f>
        <v>53711139.259999998</v>
      </c>
      <c r="K137" s="32">
        <f>SUM(K108:K136)</f>
        <v>67461349.25</v>
      </c>
      <c r="L137" s="32">
        <f>SUM(L108:L136)</f>
        <v>-13750209.99</v>
      </c>
      <c r="M137" s="32">
        <f t="shared" si="50"/>
        <v>0</v>
      </c>
      <c r="N137" s="32">
        <f>SUM(N108:N136)</f>
        <v>49753188.799999997</v>
      </c>
      <c r="O137" s="32">
        <f>SUM(O108:O136)</f>
        <v>50526866.159999989</v>
      </c>
      <c r="P137" s="32">
        <f>SUM(P108:P136)</f>
        <v>-773677.35999999684</v>
      </c>
      <c r="Q137" s="32">
        <f t="shared" si="50"/>
        <v>0</v>
      </c>
      <c r="R137" s="32">
        <f t="shared" si="50"/>
        <v>601675496.72000003</v>
      </c>
      <c r="S137" s="32">
        <f t="shared" si="50"/>
        <v>666757742.4000001</v>
      </c>
      <c r="T137" s="34">
        <f>SUM(T108:T136)</f>
        <v>-65082245.679999985</v>
      </c>
      <c r="U137" s="17">
        <f t="shared" si="26"/>
        <v>1.1081683499407775</v>
      </c>
    </row>
    <row r="138" spans="2:21" ht="24.95" customHeight="1">
      <c r="B138" s="18"/>
      <c r="C138" s="10"/>
      <c r="D138" s="10"/>
      <c r="E138" s="22"/>
      <c r="F138" s="12"/>
      <c r="G138" s="12"/>
      <c r="H138" s="12"/>
      <c r="I138" s="13"/>
      <c r="J138" s="12"/>
      <c r="K138" s="12"/>
      <c r="L138" s="12"/>
      <c r="M138" s="12"/>
      <c r="N138" s="12"/>
      <c r="O138" s="12"/>
      <c r="P138" s="12"/>
      <c r="Q138" s="13"/>
      <c r="R138" s="12"/>
      <c r="S138" s="12"/>
      <c r="T138" s="14"/>
      <c r="U138" s="17"/>
    </row>
    <row r="139" spans="2:21" ht="27.75" customHeight="1">
      <c r="B139" s="18"/>
      <c r="C139" s="24" t="s">
        <v>147</v>
      </c>
      <c r="D139" s="10"/>
      <c r="E139" s="22"/>
      <c r="F139" s="32"/>
      <c r="G139" s="32"/>
      <c r="H139" s="32"/>
      <c r="I139" s="33"/>
      <c r="J139" s="32"/>
      <c r="K139" s="32"/>
      <c r="L139" s="32"/>
      <c r="M139" s="32"/>
      <c r="N139" s="32"/>
      <c r="O139" s="32"/>
      <c r="P139" s="32"/>
      <c r="Q139" s="33"/>
      <c r="R139" s="32"/>
      <c r="S139" s="32"/>
      <c r="T139" s="34"/>
      <c r="U139" s="17"/>
    </row>
    <row r="140" spans="2:21" ht="27.75" customHeight="1">
      <c r="B140" s="18"/>
      <c r="C140" s="10"/>
      <c r="D140" s="10"/>
      <c r="E140" s="10" t="s">
        <v>148</v>
      </c>
      <c r="F140" s="12">
        <v>40095000</v>
      </c>
      <c r="G140" s="12">
        <v>15755126.16</v>
      </c>
      <c r="H140" s="12">
        <f>+F140-G140</f>
        <v>24339873.84</v>
      </c>
      <c r="I140" s="13"/>
      <c r="J140" s="12"/>
      <c r="K140" s="12"/>
      <c r="L140" s="12">
        <f>+J140-K140</f>
        <v>0</v>
      </c>
      <c r="M140" s="12"/>
      <c r="N140" s="12"/>
      <c r="O140" s="12"/>
      <c r="P140" s="12">
        <f>+N140-O140</f>
        <v>0</v>
      </c>
      <c r="Q140" s="13"/>
      <c r="R140" s="12">
        <f t="shared" ref="R140:S141" si="51">+F140+J140+N140</f>
        <v>40095000</v>
      </c>
      <c r="S140" s="12">
        <f t="shared" si="51"/>
        <v>15755126.16</v>
      </c>
      <c r="T140" s="14">
        <f>+R140-S140</f>
        <v>24339873.84</v>
      </c>
      <c r="U140" s="17">
        <f t="shared" ref="U140:U141" si="52">+S140/R140</f>
        <v>0.39294490983913205</v>
      </c>
    </row>
    <row r="141" spans="2:21" ht="27.75" customHeight="1">
      <c r="B141" s="18"/>
      <c r="C141" s="10"/>
      <c r="D141" s="10"/>
      <c r="E141" s="10" t="s">
        <v>149</v>
      </c>
      <c r="F141" s="12">
        <v>24245000</v>
      </c>
      <c r="G141" s="12">
        <v>25021231.989999998</v>
      </c>
      <c r="H141" s="12">
        <f>+F141-G141</f>
        <v>-776231.98999999836</v>
      </c>
      <c r="I141" s="13"/>
      <c r="J141" s="12"/>
      <c r="K141" s="12"/>
      <c r="L141" s="12">
        <f>+J141-K141</f>
        <v>0</v>
      </c>
      <c r="M141" s="12"/>
      <c r="N141" s="12">
        <v>7985</v>
      </c>
      <c r="O141" s="12">
        <v>7985</v>
      </c>
      <c r="P141" s="12">
        <f>+N141-O141</f>
        <v>0</v>
      </c>
      <c r="Q141" s="13"/>
      <c r="R141" s="12">
        <f t="shared" si="51"/>
        <v>24252985</v>
      </c>
      <c r="S141" s="12">
        <f t="shared" si="51"/>
        <v>25029216.989999998</v>
      </c>
      <c r="T141" s="14">
        <f>+R141-S141</f>
        <v>-776231.98999999836</v>
      </c>
      <c r="U141" s="17">
        <f t="shared" si="52"/>
        <v>1.0320056269362308</v>
      </c>
    </row>
    <row r="142" spans="2:21" ht="24.95" customHeight="1">
      <c r="B142" s="18"/>
      <c r="C142" s="10"/>
      <c r="D142" s="10"/>
      <c r="E142" s="22"/>
      <c r="F142" s="12"/>
      <c r="G142" s="12"/>
      <c r="H142" s="12"/>
      <c r="I142" s="13"/>
      <c r="J142" s="12"/>
      <c r="K142" s="12"/>
      <c r="L142" s="12"/>
      <c r="M142" s="12"/>
      <c r="N142" s="12"/>
      <c r="O142" s="12"/>
      <c r="P142" s="12"/>
      <c r="Q142" s="13"/>
      <c r="R142" s="12"/>
      <c r="S142" s="12"/>
      <c r="T142" s="14"/>
      <c r="U142" s="17"/>
    </row>
    <row r="143" spans="2:21" s="48" customFormat="1" ht="15.75" thickBot="1">
      <c r="B143" s="44"/>
      <c r="C143" s="24"/>
      <c r="D143" s="24"/>
      <c r="E143" s="45" t="s">
        <v>125</v>
      </c>
      <c r="F143" s="46">
        <f>+F8+F51+F81+F104+F137+F49+F50+F140+F141</f>
        <v>2887003105.9899998</v>
      </c>
      <c r="G143" s="46">
        <f t="shared" ref="G143:H143" si="53">+G8+G51+G81+G104+G137+G49+G50+G140+G141</f>
        <v>2928090848.4399996</v>
      </c>
      <c r="H143" s="46">
        <f t="shared" si="53"/>
        <v>-41087742.449999943</v>
      </c>
      <c r="I143" s="46">
        <f t="shared" ref="I143:Q143" si="54">+I8+I51+I81+I104+I137+I49+I50</f>
        <v>2208000</v>
      </c>
      <c r="J143" s="46">
        <f>+J8+J51+J81+J104+J137+J49+J50+J140+J141</f>
        <v>270556923.25999999</v>
      </c>
      <c r="K143" s="46">
        <f t="shared" ref="K143:L143" si="55">+K8+K51+K81+K104+K137+K49+K50+K140+K141</f>
        <v>311792399.60000002</v>
      </c>
      <c r="L143" s="46">
        <f t="shared" si="55"/>
        <v>-41235476.339999996</v>
      </c>
      <c r="M143" s="46">
        <f t="shared" si="54"/>
        <v>0</v>
      </c>
      <c r="N143" s="46">
        <f>+N8+N51+N81+N104+N137+N49+N50+N140+N141</f>
        <v>259229702.70999998</v>
      </c>
      <c r="O143" s="46">
        <f t="shared" ref="O143:P143" si="56">+O8+O51+O81+O104+O137+O49+O50+O140+O141</f>
        <v>365560465.85999995</v>
      </c>
      <c r="P143" s="46">
        <f t="shared" si="56"/>
        <v>-106330763.14999999</v>
      </c>
      <c r="Q143" s="46">
        <f t="shared" si="54"/>
        <v>0</v>
      </c>
      <c r="R143" s="46">
        <f>+R8+R51+R81+R104+R137+R49+R50+R140+R141</f>
        <v>3416789731.96</v>
      </c>
      <c r="S143" s="46">
        <f t="shared" ref="S143:T143" si="57">+S8+S51+S81+S104+S137+S49+S50+S140+S141</f>
        <v>3605443713.8999991</v>
      </c>
      <c r="T143" s="46">
        <f t="shared" si="57"/>
        <v>-188653981.93999988</v>
      </c>
      <c r="U143" s="47">
        <f>+S143/R143</f>
        <v>1.0552138108398552</v>
      </c>
    </row>
    <row r="144" spans="2:21" ht="15.75" thickTop="1" thickBot="1">
      <c r="B144" s="49"/>
      <c r="C144" s="50"/>
      <c r="D144" s="50"/>
      <c r="E144" s="51"/>
      <c r="F144" s="52"/>
      <c r="G144" s="52"/>
      <c r="H144" s="52"/>
      <c r="I144" s="53"/>
      <c r="J144" s="54"/>
      <c r="K144" s="54"/>
      <c r="L144" s="54"/>
      <c r="M144" s="54"/>
      <c r="N144" s="54"/>
      <c r="O144" s="54"/>
      <c r="P144" s="54"/>
      <c r="Q144" s="53"/>
      <c r="R144" s="54"/>
      <c r="S144" s="54"/>
      <c r="T144" s="55"/>
      <c r="U144" s="56"/>
    </row>
    <row r="145" spans="6:20" ht="24.95" customHeight="1">
      <c r="F145" s="30">
        <f>+F143+J143</f>
        <v>3157560029.25</v>
      </c>
      <c r="G145" s="30">
        <f>+G143+K143</f>
        <v>3239883248.0399995</v>
      </c>
      <c r="H145" s="30">
        <f>+F145-G145</f>
        <v>-82323218.789999485</v>
      </c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6:20" ht="24.95" customHeight="1">
      <c r="F146" s="58" t="s">
        <v>126</v>
      </c>
      <c r="J146" s="58" t="s">
        <v>127</v>
      </c>
      <c r="K146" s="30"/>
      <c r="N146" s="58" t="s">
        <v>128</v>
      </c>
      <c r="R146" s="13"/>
      <c r="S146" s="13"/>
      <c r="T146" s="13"/>
    </row>
    <row r="147" spans="6:20" ht="24.95" customHeight="1">
      <c r="R147" s="13"/>
      <c r="S147" s="13"/>
      <c r="T147" s="13"/>
    </row>
    <row r="148" spans="6:20" ht="24.95" customHeight="1">
      <c r="F148" s="59" t="s">
        <v>129</v>
      </c>
      <c r="J148" s="59" t="s">
        <v>130</v>
      </c>
      <c r="N148" s="59" t="s">
        <v>131</v>
      </c>
      <c r="R148" s="30"/>
      <c r="S148" s="30"/>
      <c r="T148" s="30"/>
    </row>
    <row r="149" spans="6:20" ht="17.25" customHeight="1">
      <c r="F149" s="58" t="s">
        <v>132</v>
      </c>
      <c r="J149" s="58" t="s">
        <v>133</v>
      </c>
      <c r="N149" s="58" t="s">
        <v>134</v>
      </c>
    </row>
  </sheetData>
  <autoFilter ref="B7:U140"/>
  <mergeCells count="11">
    <mergeCell ref="U5:U6"/>
    <mergeCell ref="C11:E11"/>
    <mergeCell ref="B1:T1"/>
    <mergeCell ref="B2:T2"/>
    <mergeCell ref="B3:T3"/>
    <mergeCell ref="B4:T4"/>
    <mergeCell ref="B5:E6"/>
    <mergeCell ref="F5:H5"/>
    <mergeCell ref="J5:L5"/>
    <mergeCell ref="N5:P5"/>
    <mergeCell ref="R5:T5"/>
  </mergeCells>
  <pageMargins left="1.25" right="0" top="0.36" bottom="0.3" header="0.27" footer="0.17"/>
  <pageSetup paperSize="5" scale="55" orientation="landscape" horizontalDpi="0" verticalDpi="0" r:id="rId1"/>
  <headerFooter>
    <oddFooter>&amp;R&amp;"-,Italic"&amp;8Page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Y149"/>
  <sheetViews>
    <sheetView zoomScale="75" zoomScaleNormal="75" workbookViewId="0">
      <pane xSplit="5" ySplit="6" topLeftCell="F55" activePane="bottomRight" state="frozen"/>
      <selection pane="topRight" activeCell="F1" sqref="F1"/>
      <selection pane="bottomLeft" activeCell="A7" sqref="A7"/>
      <selection pane="bottomRight" activeCell="C61" sqref="C61"/>
    </sheetView>
  </sheetViews>
  <sheetFormatPr defaultRowHeight="24.95" customHeight="1"/>
  <cols>
    <col min="1" max="4" width="2.7109375" style="2" customWidth="1"/>
    <col min="5" max="5" width="50.5703125" style="57" customWidth="1"/>
    <col min="6" max="7" width="19.28515625" style="2" customWidth="1"/>
    <col min="8" max="8" width="18.5703125" style="2" customWidth="1"/>
    <col min="9" max="9" width="0.7109375" style="2" customWidth="1"/>
    <col min="10" max="10" width="24" style="2" bestFit="1" customWidth="1"/>
    <col min="11" max="11" width="18.7109375" style="2" bestFit="1" customWidth="1"/>
    <col min="12" max="12" width="19.42578125" style="2" bestFit="1" customWidth="1"/>
    <col min="13" max="13" width="0.5703125" style="2" customWidth="1"/>
    <col min="14" max="15" width="18.7109375" style="2" bestFit="1" customWidth="1"/>
    <col min="16" max="16" width="16.5703125" style="2" customWidth="1"/>
    <col min="17" max="17" width="0.7109375" style="2" customWidth="1"/>
    <col min="18" max="19" width="19.85546875" style="2" bestFit="1" customWidth="1"/>
    <col min="20" max="20" width="18.7109375" style="2" bestFit="1" customWidth="1"/>
    <col min="21" max="21" width="14.5703125" style="1" customWidth="1"/>
    <col min="22" max="22" width="9.140625" style="2"/>
    <col min="23" max="23" width="13.140625" style="2" bestFit="1" customWidth="1"/>
    <col min="24" max="16384" width="9.140625" style="2"/>
  </cols>
  <sheetData>
    <row r="1" spans="2:21" ht="18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2:21" ht="20.25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21" ht="18">
      <c r="B3" s="131" t="s">
        <v>139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1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2:21" ht="24.95" customHeight="1">
      <c r="B5" s="134" t="s">
        <v>3</v>
      </c>
      <c r="C5" s="135"/>
      <c r="D5" s="135"/>
      <c r="E5" s="136"/>
      <c r="F5" s="140" t="s">
        <v>4</v>
      </c>
      <c r="G5" s="141"/>
      <c r="H5" s="142"/>
      <c r="I5" s="3"/>
      <c r="J5" s="140" t="s">
        <v>5</v>
      </c>
      <c r="K5" s="141"/>
      <c r="L5" s="142"/>
      <c r="M5" s="4"/>
      <c r="N5" s="140" t="s">
        <v>6</v>
      </c>
      <c r="O5" s="141"/>
      <c r="P5" s="142"/>
      <c r="Q5" s="3"/>
      <c r="R5" s="140" t="s">
        <v>7</v>
      </c>
      <c r="S5" s="141"/>
      <c r="T5" s="143"/>
      <c r="U5" s="127" t="s">
        <v>8</v>
      </c>
    </row>
    <row r="6" spans="2:21" s="8" customFormat="1" ht="28.5" customHeight="1" thickBot="1">
      <c r="B6" s="137"/>
      <c r="C6" s="138"/>
      <c r="D6" s="138"/>
      <c r="E6" s="139"/>
      <c r="F6" s="5" t="s">
        <v>9</v>
      </c>
      <c r="G6" s="6" t="s">
        <v>10</v>
      </c>
      <c r="H6" s="5" t="s">
        <v>11</v>
      </c>
      <c r="I6" s="6"/>
      <c r="J6" s="5" t="s">
        <v>12</v>
      </c>
      <c r="K6" s="6" t="s">
        <v>10</v>
      </c>
      <c r="L6" s="5" t="s">
        <v>11</v>
      </c>
      <c r="M6" s="5"/>
      <c r="N6" s="5" t="s">
        <v>9</v>
      </c>
      <c r="O6" s="6" t="s">
        <v>10</v>
      </c>
      <c r="P6" s="5" t="s">
        <v>11</v>
      </c>
      <c r="Q6" s="5"/>
      <c r="R6" s="6" t="s">
        <v>13</v>
      </c>
      <c r="S6" s="6" t="s">
        <v>10</v>
      </c>
      <c r="T6" s="7" t="s">
        <v>11</v>
      </c>
      <c r="U6" s="128"/>
    </row>
    <row r="7" spans="2:21" ht="24.95" customHeight="1">
      <c r="B7" s="9"/>
      <c r="C7" s="10"/>
      <c r="D7" s="10"/>
      <c r="E7" s="11"/>
      <c r="F7" s="12"/>
      <c r="G7" s="12"/>
      <c r="H7" s="12"/>
      <c r="I7" s="13"/>
      <c r="J7" s="12"/>
      <c r="K7" s="12"/>
      <c r="L7" s="12"/>
      <c r="M7" s="12"/>
      <c r="N7" s="12"/>
      <c r="O7" s="12"/>
      <c r="P7" s="12"/>
      <c r="Q7" s="13"/>
      <c r="R7" s="12"/>
      <c r="S7" s="12"/>
      <c r="T7" s="14"/>
      <c r="U7" s="15"/>
    </row>
    <row r="8" spans="2:21" ht="24.95" customHeight="1">
      <c r="B8" s="9" t="s">
        <v>14</v>
      </c>
      <c r="C8" s="10"/>
      <c r="D8" s="10"/>
      <c r="E8" s="11"/>
      <c r="F8" s="12">
        <f>588088000-93810225</f>
        <v>494277775</v>
      </c>
      <c r="G8" s="12">
        <v>494277568.47000003</v>
      </c>
      <c r="H8" s="12">
        <f>+F8-G8</f>
        <v>206.52999997138977</v>
      </c>
      <c r="I8" s="13"/>
      <c r="J8" s="12"/>
      <c r="K8" s="12"/>
      <c r="L8" s="12">
        <f>+J8-K8</f>
        <v>0</v>
      </c>
      <c r="M8" s="12"/>
      <c r="N8" s="12">
        <f>379979+537685+24172</f>
        <v>941836</v>
      </c>
      <c r="O8" s="12">
        <v>370970.9</v>
      </c>
      <c r="P8" s="12">
        <f>+N8-O8</f>
        <v>570865.1</v>
      </c>
      <c r="Q8" s="16"/>
      <c r="R8" s="12">
        <f>+F8+J8+N8</f>
        <v>495219611</v>
      </c>
      <c r="S8" s="12">
        <f>+G8+K8+O8</f>
        <v>494648539.37</v>
      </c>
      <c r="T8" s="14">
        <f>+R8-S8</f>
        <v>571071.62999999523</v>
      </c>
      <c r="U8" s="17">
        <f>+S8/R8</f>
        <v>0.99884683155247667</v>
      </c>
    </row>
    <row r="9" spans="2:21" ht="24.95" customHeight="1">
      <c r="B9" s="18"/>
      <c r="C9" s="10"/>
      <c r="D9" s="10"/>
      <c r="E9" s="19"/>
      <c r="F9" s="12"/>
      <c r="G9" s="12"/>
      <c r="H9" s="12">
        <f>+F9-G9</f>
        <v>0</v>
      </c>
      <c r="I9" s="13"/>
      <c r="J9" s="12"/>
      <c r="K9" s="12"/>
      <c r="L9" s="12">
        <f>+J9-K9</f>
        <v>0</v>
      </c>
      <c r="M9" s="12"/>
      <c r="N9" s="12"/>
      <c r="O9" s="12"/>
      <c r="P9" s="12">
        <f>+N9-O9</f>
        <v>0</v>
      </c>
      <c r="Q9" s="13"/>
      <c r="R9" s="12"/>
      <c r="S9" s="12"/>
      <c r="T9" s="14"/>
      <c r="U9" s="17"/>
    </row>
    <row r="10" spans="2:21" ht="24.95" customHeight="1">
      <c r="B10" s="9" t="s">
        <v>15</v>
      </c>
      <c r="C10" s="10"/>
      <c r="D10" s="10"/>
      <c r="E10" s="11"/>
      <c r="F10" s="12"/>
      <c r="G10" s="12"/>
      <c r="H10" s="12"/>
      <c r="I10" s="13"/>
      <c r="J10" s="12"/>
      <c r="K10" s="12"/>
      <c r="L10" s="12"/>
      <c r="M10" s="12"/>
      <c r="N10" s="12"/>
      <c r="O10" s="12"/>
      <c r="P10" s="12"/>
      <c r="Q10" s="13"/>
      <c r="R10" s="12"/>
      <c r="S10" s="12"/>
      <c r="T10" s="14"/>
      <c r="U10" s="17"/>
    </row>
    <row r="11" spans="2:21" ht="30" customHeight="1">
      <c r="B11" s="9"/>
      <c r="C11" s="129" t="s">
        <v>16</v>
      </c>
      <c r="D11" s="129"/>
      <c r="E11" s="130"/>
      <c r="F11" s="12">
        <f>SUM(F13:F46)</f>
        <v>1026848993.41</v>
      </c>
      <c r="G11" s="12">
        <f t="shared" ref="G11:T11" si="0">SUM(G13:G46)</f>
        <v>582079705.62</v>
      </c>
      <c r="H11" s="12">
        <f t="shared" si="0"/>
        <v>444769287.79000008</v>
      </c>
      <c r="I11" s="12">
        <f t="shared" si="0"/>
        <v>2208000</v>
      </c>
      <c r="J11" s="12">
        <f>SUM(J13:J46)</f>
        <v>7797660</v>
      </c>
      <c r="K11" s="12">
        <f>SUM(K13:K46)</f>
        <v>7339000</v>
      </c>
      <c r="L11" s="12">
        <f>SUM(L13:L46)</f>
        <v>458660</v>
      </c>
      <c r="M11" s="12">
        <f t="shared" si="0"/>
        <v>0</v>
      </c>
      <c r="N11" s="12">
        <f>SUM(N13:N46)</f>
        <v>114489865.04000001</v>
      </c>
      <c r="O11" s="12">
        <f>SUM(O13:O46)</f>
        <v>20728111.719999999</v>
      </c>
      <c r="P11" s="12">
        <f>SUM(P13:P46)</f>
        <v>93761753.319999993</v>
      </c>
      <c r="Q11" s="12">
        <f t="shared" si="0"/>
        <v>0</v>
      </c>
      <c r="R11" s="12">
        <f t="shared" si="0"/>
        <v>1149136518.4499998</v>
      </c>
      <c r="S11" s="12">
        <f t="shared" si="0"/>
        <v>610146817.34000003</v>
      </c>
      <c r="T11" s="14">
        <f t="shared" si="0"/>
        <v>538989701.11000001</v>
      </c>
      <c r="U11" s="17">
        <f>+S11/R11</f>
        <v>0.53096112389064953</v>
      </c>
    </row>
    <row r="12" spans="2:21" ht="24.95" customHeight="1">
      <c r="B12" s="18"/>
      <c r="C12" s="20" t="s">
        <v>17</v>
      </c>
      <c r="D12" s="20"/>
      <c r="E12" s="10"/>
      <c r="F12" s="12"/>
      <c r="G12" s="12"/>
      <c r="H12" s="12">
        <f t="shared" ref="H12:H17" si="1">+F12-G12</f>
        <v>0</v>
      </c>
      <c r="I12" s="13"/>
      <c r="J12" s="12"/>
      <c r="K12" s="12"/>
      <c r="L12" s="12">
        <f t="shared" ref="L12:L17" si="2">+J12-K12</f>
        <v>0</v>
      </c>
      <c r="M12" s="12"/>
      <c r="N12" s="12"/>
      <c r="O12" s="12"/>
      <c r="P12" s="12">
        <f t="shared" ref="P12:P17" si="3">+N12-O12</f>
        <v>0</v>
      </c>
      <c r="Q12" s="13"/>
      <c r="R12" s="12"/>
      <c r="S12" s="12"/>
      <c r="T12" s="14"/>
      <c r="U12" s="17"/>
    </row>
    <row r="13" spans="2:21" ht="24.95" customHeight="1">
      <c r="B13" s="18"/>
      <c r="C13" s="20"/>
      <c r="D13" s="20"/>
      <c r="E13" s="10" t="s">
        <v>18</v>
      </c>
      <c r="F13" s="12">
        <v>23949000</v>
      </c>
      <c r="G13" s="12">
        <v>20534166.16</v>
      </c>
      <c r="H13" s="12">
        <f t="shared" si="1"/>
        <v>3414833.84</v>
      </c>
      <c r="I13" s="13"/>
      <c r="J13" s="12">
        <v>7250000</v>
      </c>
      <c r="K13" s="12">
        <v>7250000</v>
      </c>
      <c r="L13" s="12">
        <f t="shared" si="2"/>
        <v>0</v>
      </c>
      <c r="M13" s="12"/>
      <c r="N13" s="12"/>
      <c r="O13" s="12"/>
      <c r="P13" s="12">
        <f t="shared" si="3"/>
        <v>0</v>
      </c>
      <c r="Q13" s="13"/>
      <c r="R13" s="12">
        <f t="shared" ref="R13:S17" si="4">+F13+J13+N13</f>
        <v>31199000</v>
      </c>
      <c r="S13" s="12">
        <f t="shared" si="4"/>
        <v>27784166.16</v>
      </c>
      <c r="T13" s="14">
        <f>+R13-S13</f>
        <v>3414833.84</v>
      </c>
      <c r="U13" s="17">
        <f t="shared" ref="U13:U72" si="5">+S13/R13</f>
        <v>0.89054668931696535</v>
      </c>
    </row>
    <row r="14" spans="2:21" ht="24.95" customHeight="1">
      <c r="B14" s="18"/>
      <c r="C14" s="10"/>
      <c r="D14" s="10"/>
      <c r="E14" s="21" t="s">
        <v>19</v>
      </c>
      <c r="F14" s="12">
        <v>7026800</v>
      </c>
      <c r="G14" s="12">
        <v>6806004.7599999998</v>
      </c>
      <c r="H14" s="12">
        <f t="shared" si="1"/>
        <v>220795.24000000022</v>
      </c>
      <c r="I14" s="13"/>
      <c r="J14" s="12"/>
      <c r="K14" s="12"/>
      <c r="L14" s="12">
        <f t="shared" si="2"/>
        <v>0</v>
      </c>
      <c r="M14" s="12"/>
      <c r="N14" s="12"/>
      <c r="O14" s="12"/>
      <c r="P14" s="12">
        <f t="shared" si="3"/>
        <v>0</v>
      </c>
      <c r="Q14" s="13"/>
      <c r="R14" s="12">
        <f t="shared" si="4"/>
        <v>7026800</v>
      </c>
      <c r="S14" s="12">
        <f t="shared" si="4"/>
        <v>6806004.7599999998</v>
      </c>
      <c r="T14" s="14">
        <f>+R14-S14</f>
        <v>220795.24000000022</v>
      </c>
      <c r="U14" s="17">
        <f t="shared" si="5"/>
        <v>0.96857812375476748</v>
      </c>
    </row>
    <row r="15" spans="2:21" ht="27" customHeight="1">
      <c r="B15" s="18"/>
      <c r="C15" s="10"/>
      <c r="D15" s="10"/>
      <c r="E15" s="21" t="s">
        <v>20</v>
      </c>
      <c r="F15" s="12">
        <v>6940000</v>
      </c>
      <c r="G15" s="12">
        <v>6838209.1900000013</v>
      </c>
      <c r="H15" s="12">
        <f t="shared" si="1"/>
        <v>101790.80999999866</v>
      </c>
      <c r="I15" s="13"/>
      <c r="J15" s="12"/>
      <c r="K15" s="12"/>
      <c r="L15" s="12">
        <f t="shared" si="2"/>
        <v>0</v>
      </c>
      <c r="M15" s="12"/>
      <c r="N15" s="12"/>
      <c r="O15" s="12"/>
      <c r="P15" s="12">
        <f t="shared" si="3"/>
        <v>0</v>
      </c>
      <c r="Q15" s="13"/>
      <c r="R15" s="12">
        <f t="shared" si="4"/>
        <v>6940000</v>
      </c>
      <c r="S15" s="12">
        <f t="shared" si="4"/>
        <v>6838209.1900000013</v>
      </c>
      <c r="T15" s="14">
        <f>+R15-S15</f>
        <v>101790.80999999866</v>
      </c>
      <c r="U15" s="17">
        <f t="shared" si="5"/>
        <v>0.98533273631123941</v>
      </c>
    </row>
    <row r="16" spans="2:21" ht="27" customHeight="1">
      <c r="B16" s="18"/>
      <c r="C16" s="10"/>
      <c r="D16" s="10"/>
      <c r="E16" s="22" t="s">
        <v>21</v>
      </c>
      <c r="F16" s="12">
        <v>1588000</v>
      </c>
      <c r="G16" s="12">
        <v>1463571.36</v>
      </c>
      <c r="H16" s="12">
        <f t="shared" si="1"/>
        <v>124428.6399999999</v>
      </c>
      <c r="I16" s="13"/>
      <c r="J16" s="12"/>
      <c r="K16" s="12"/>
      <c r="L16" s="12">
        <f t="shared" si="2"/>
        <v>0</v>
      </c>
      <c r="M16" s="12"/>
      <c r="N16" s="12"/>
      <c r="O16" s="12"/>
      <c r="P16" s="12">
        <f t="shared" si="3"/>
        <v>0</v>
      </c>
      <c r="Q16" s="13"/>
      <c r="R16" s="12">
        <f t="shared" si="4"/>
        <v>1588000</v>
      </c>
      <c r="S16" s="12">
        <f t="shared" si="4"/>
        <v>1463571.36</v>
      </c>
      <c r="T16" s="14">
        <f>+R16-S16</f>
        <v>124428.6399999999</v>
      </c>
      <c r="U16" s="17">
        <f t="shared" si="5"/>
        <v>0.92164443324937029</v>
      </c>
    </row>
    <row r="17" spans="2:21" ht="27" customHeight="1">
      <c r="B17" s="18"/>
      <c r="C17" s="10"/>
      <c r="D17" s="10"/>
      <c r="E17" s="21" t="s">
        <v>22</v>
      </c>
      <c r="F17" s="12">
        <v>16756232</v>
      </c>
      <c r="G17" s="12">
        <v>15698333.91</v>
      </c>
      <c r="H17" s="12">
        <f t="shared" si="1"/>
        <v>1057898.0899999999</v>
      </c>
      <c r="I17" s="13"/>
      <c r="J17" s="12"/>
      <c r="K17" s="12"/>
      <c r="L17" s="12">
        <f t="shared" si="2"/>
        <v>0</v>
      </c>
      <c r="M17" s="12"/>
      <c r="N17" s="12"/>
      <c r="O17" s="12"/>
      <c r="P17" s="12">
        <f t="shared" si="3"/>
        <v>0</v>
      </c>
      <c r="Q17" s="13"/>
      <c r="R17" s="12">
        <f t="shared" si="4"/>
        <v>16756232</v>
      </c>
      <c r="S17" s="12">
        <f t="shared" si="4"/>
        <v>15698333.91</v>
      </c>
      <c r="T17" s="14">
        <f>+R17-S17</f>
        <v>1057898.0899999999</v>
      </c>
      <c r="U17" s="17">
        <f t="shared" si="5"/>
        <v>0.93686539491694787</v>
      </c>
    </row>
    <row r="18" spans="2:21" ht="24.95" customHeight="1">
      <c r="B18" s="18"/>
      <c r="C18" s="10"/>
      <c r="D18" s="10"/>
      <c r="E18" s="21"/>
      <c r="F18" s="12"/>
      <c r="G18" s="12"/>
      <c r="H18" s="12"/>
      <c r="I18" s="13"/>
      <c r="J18" s="12"/>
      <c r="K18" s="12"/>
      <c r="L18" s="12"/>
      <c r="M18" s="12"/>
      <c r="N18" s="12"/>
      <c r="O18" s="12"/>
      <c r="P18" s="12"/>
      <c r="Q18" s="13"/>
      <c r="R18" s="12"/>
      <c r="S18" s="12"/>
      <c r="T18" s="14"/>
      <c r="U18" s="17"/>
    </row>
    <row r="19" spans="2:21" ht="24.95" customHeight="1">
      <c r="B19" s="18"/>
      <c r="C19" s="20" t="s">
        <v>23</v>
      </c>
      <c r="D19" s="20"/>
      <c r="E19" s="10"/>
      <c r="F19" s="12"/>
      <c r="G19" s="12"/>
      <c r="H19" s="12"/>
      <c r="I19" s="13"/>
      <c r="J19" s="12"/>
      <c r="K19" s="12"/>
      <c r="L19" s="12"/>
      <c r="M19" s="12"/>
      <c r="N19" s="12"/>
      <c r="O19" s="12"/>
      <c r="P19" s="12"/>
      <c r="Q19" s="13"/>
      <c r="R19" s="12"/>
      <c r="S19" s="12"/>
      <c r="T19" s="14"/>
      <c r="U19" s="17"/>
    </row>
    <row r="20" spans="2:21" ht="24.95" customHeight="1">
      <c r="B20" s="18"/>
      <c r="C20" s="20"/>
      <c r="D20" s="20"/>
      <c r="E20" s="10" t="s">
        <v>24</v>
      </c>
      <c r="F20" s="12">
        <v>20686000</v>
      </c>
      <c r="G20" s="12">
        <v>9335448.9399999995</v>
      </c>
      <c r="H20" s="12">
        <f>+F20-G20</f>
        <v>11350551.060000001</v>
      </c>
      <c r="I20" s="13"/>
      <c r="J20" s="12"/>
      <c r="K20" s="12"/>
      <c r="L20" s="12">
        <f>+J20-K20</f>
        <v>0</v>
      </c>
      <c r="M20" s="12"/>
      <c r="N20" s="12">
        <v>82250000</v>
      </c>
      <c r="O20" s="12">
        <v>4793909.13</v>
      </c>
      <c r="P20" s="12">
        <f>+N20-O20</f>
        <v>77456090.870000005</v>
      </c>
      <c r="Q20" s="13"/>
      <c r="R20" s="12">
        <f>+F20+J20+N20</f>
        <v>102936000</v>
      </c>
      <c r="S20" s="12">
        <f>+G20+K20+O20</f>
        <v>14129358.07</v>
      </c>
      <c r="T20" s="14">
        <f>+R20-S20</f>
        <v>88806641.930000007</v>
      </c>
      <c r="U20" s="17">
        <f t="shared" si="5"/>
        <v>0.13726352364576047</v>
      </c>
    </row>
    <row r="21" spans="2:21" ht="28.5" customHeight="1">
      <c r="B21" s="18"/>
      <c r="C21" s="10"/>
      <c r="D21" s="10"/>
      <c r="E21" s="22" t="s">
        <v>25</v>
      </c>
      <c r="F21" s="12">
        <v>27448000</v>
      </c>
      <c r="G21" s="12">
        <v>22070591</v>
      </c>
      <c r="H21" s="12">
        <f>+F21-G21</f>
        <v>5377409</v>
      </c>
      <c r="I21" s="13"/>
      <c r="J21" s="12"/>
      <c r="K21" s="12"/>
      <c r="L21" s="12">
        <f>+J21-K21</f>
        <v>0</v>
      </c>
      <c r="M21" s="12"/>
      <c r="N21" s="12">
        <v>496669</v>
      </c>
      <c r="O21" s="12">
        <v>0</v>
      </c>
      <c r="P21" s="12">
        <f>+N21-O21</f>
        <v>496669</v>
      </c>
      <c r="Q21" s="13"/>
      <c r="R21" s="12">
        <f>+F21+J21+N21</f>
        <v>27944669</v>
      </c>
      <c r="S21" s="12">
        <f>+G21+K21+O21</f>
        <v>22070591</v>
      </c>
      <c r="T21" s="14">
        <f>+R21-S21</f>
        <v>5874078</v>
      </c>
      <c r="U21" s="17">
        <f t="shared" si="5"/>
        <v>0.78979611460060595</v>
      </c>
    </row>
    <row r="22" spans="2:21" ht="24.95" customHeight="1">
      <c r="B22" s="18"/>
      <c r="C22" s="10"/>
      <c r="D22" s="10"/>
      <c r="E22" s="22"/>
      <c r="F22" s="12"/>
      <c r="G22" s="12"/>
      <c r="H22" s="12"/>
      <c r="I22" s="13"/>
      <c r="J22" s="12"/>
      <c r="K22" s="12"/>
      <c r="L22" s="12"/>
      <c r="M22" s="12"/>
      <c r="N22" s="12"/>
      <c r="O22" s="12"/>
      <c r="P22" s="12"/>
      <c r="Q22" s="13"/>
      <c r="R22" s="12"/>
      <c r="S22" s="12"/>
      <c r="T22" s="14"/>
      <c r="U22" s="17"/>
    </row>
    <row r="23" spans="2:21" ht="24.95" customHeight="1">
      <c r="B23" s="18"/>
      <c r="C23" s="20" t="s">
        <v>26</v>
      </c>
      <c r="D23" s="20"/>
      <c r="E23" s="10"/>
      <c r="F23" s="12"/>
      <c r="G23" s="12"/>
      <c r="H23" s="12"/>
      <c r="I23" s="13"/>
      <c r="J23" s="12"/>
      <c r="K23" s="12"/>
      <c r="L23" s="12"/>
      <c r="M23" s="12"/>
      <c r="N23" s="12"/>
      <c r="O23" s="12"/>
      <c r="P23" s="12"/>
      <c r="Q23" s="13"/>
      <c r="R23" s="12"/>
      <c r="S23" s="12"/>
      <c r="T23" s="14"/>
      <c r="U23" s="17"/>
    </row>
    <row r="24" spans="2:21" ht="24.95" customHeight="1">
      <c r="B24" s="18"/>
      <c r="C24" s="20"/>
      <c r="D24" s="20"/>
      <c r="E24" s="10" t="s">
        <v>27</v>
      </c>
      <c r="F24" s="12">
        <v>61237000</v>
      </c>
      <c r="G24" s="12">
        <v>46603684.420000002</v>
      </c>
      <c r="H24" s="12">
        <f>+F24-G24</f>
        <v>14633315.579999998</v>
      </c>
      <c r="I24" s="13"/>
      <c r="J24" s="12"/>
      <c r="K24" s="12"/>
      <c r="L24" s="12">
        <f>+J24-K24</f>
        <v>0</v>
      </c>
      <c r="M24" s="12"/>
      <c r="N24" s="12"/>
      <c r="O24" s="12"/>
      <c r="P24" s="12">
        <f>+N24-O24</f>
        <v>0</v>
      </c>
      <c r="Q24" s="13"/>
      <c r="R24" s="12">
        <f t="shared" ref="R24:S26" si="6">+F24+J24+N24</f>
        <v>61237000</v>
      </c>
      <c r="S24" s="12">
        <f t="shared" si="6"/>
        <v>46603684.420000002</v>
      </c>
      <c r="T24" s="14">
        <f>+R24-S24</f>
        <v>14633315.579999998</v>
      </c>
      <c r="U24" s="17">
        <f t="shared" si="5"/>
        <v>0.76103800676061861</v>
      </c>
    </row>
    <row r="25" spans="2:21" ht="27.75" customHeight="1">
      <c r="B25" s="18"/>
      <c r="C25" s="10"/>
      <c r="D25" s="10"/>
      <c r="E25" s="60" t="s">
        <v>28</v>
      </c>
      <c r="F25" s="12">
        <v>7558903</v>
      </c>
      <c r="G25" s="12">
        <v>5714324.6399999997</v>
      </c>
      <c r="H25" s="12">
        <f>+F25-G25</f>
        <v>1844578.3600000003</v>
      </c>
      <c r="I25" s="13"/>
      <c r="J25" s="12"/>
      <c r="K25" s="12"/>
      <c r="L25" s="12">
        <f>+J25-K25</f>
        <v>0</v>
      </c>
      <c r="M25" s="12"/>
      <c r="N25" s="12"/>
      <c r="O25" s="12"/>
      <c r="P25" s="12">
        <f>+N25-O25</f>
        <v>0</v>
      </c>
      <c r="Q25" s="13"/>
      <c r="R25" s="12">
        <f t="shared" si="6"/>
        <v>7558903</v>
      </c>
      <c r="S25" s="12">
        <f t="shared" si="6"/>
        <v>5714324.6399999997</v>
      </c>
      <c r="T25" s="14">
        <f>+R25-S25</f>
        <v>1844578.3600000003</v>
      </c>
      <c r="U25" s="17">
        <f t="shared" si="5"/>
        <v>0.75597274366399458</v>
      </c>
    </row>
    <row r="26" spans="2:21" ht="27.75" customHeight="1">
      <c r="B26" s="18"/>
      <c r="C26" s="10"/>
      <c r="D26" s="10"/>
      <c r="E26" s="22" t="s">
        <v>29</v>
      </c>
      <c r="F26" s="12">
        <v>4256000</v>
      </c>
      <c r="G26" s="12">
        <v>2530881.16</v>
      </c>
      <c r="H26" s="12">
        <f>+F26-G26</f>
        <v>1725118.8399999999</v>
      </c>
      <c r="I26" s="13"/>
      <c r="J26" s="12"/>
      <c r="K26" s="12"/>
      <c r="L26" s="12">
        <f>+J26-K26</f>
        <v>0</v>
      </c>
      <c r="M26" s="12"/>
      <c r="N26" s="12">
        <v>13267000</v>
      </c>
      <c r="O26" s="12"/>
      <c r="P26" s="12">
        <f>+N26-O26</f>
        <v>13267000</v>
      </c>
      <c r="Q26" s="13"/>
      <c r="R26" s="12">
        <f t="shared" si="6"/>
        <v>17523000</v>
      </c>
      <c r="S26" s="12">
        <f t="shared" si="6"/>
        <v>2530881.16</v>
      </c>
      <c r="T26" s="14">
        <f>+R26-S26</f>
        <v>14992118.84</v>
      </c>
      <c r="U26" s="17">
        <f t="shared" si="5"/>
        <v>0.14443195571534556</v>
      </c>
    </row>
    <row r="27" spans="2:21" ht="24.95" customHeight="1">
      <c r="B27" s="18"/>
      <c r="C27" s="10"/>
      <c r="D27" s="10"/>
      <c r="E27" s="22"/>
      <c r="F27" s="12"/>
      <c r="G27" s="12"/>
      <c r="H27" s="12"/>
      <c r="I27" s="13"/>
      <c r="J27" s="12"/>
      <c r="K27" s="12"/>
      <c r="L27" s="12"/>
      <c r="M27" s="12"/>
      <c r="N27" s="12"/>
      <c r="O27" s="12"/>
      <c r="P27" s="12"/>
      <c r="Q27" s="13"/>
      <c r="R27" s="12"/>
      <c r="S27" s="12"/>
      <c r="T27" s="14"/>
      <c r="U27" s="17"/>
    </row>
    <row r="28" spans="2:21" ht="24.95" customHeight="1">
      <c r="B28" s="18"/>
      <c r="C28" s="20" t="s">
        <v>30</v>
      </c>
      <c r="D28" s="20"/>
      <c r="E28" s="10"/>
      <c r="F28" s="12"/>
      <c r="G28" s="12"/>
      <c r="H28" s="12"/>
      <c r="I28" s="13"/>
      <c r="J28" s="12"/>
      <c r="K28" s="12"/>
      <c r="L28" s="12"/>
      <c r="M28" s="12"/>
      <c r="N28" s="12"/>
      <c r="O28" s="12"/>
      <c r="P28" s="12"/>
      <c r="Q28" s="13"/>
      <c r="R28" s="12"/>
      <c r="S28" s="12"/>
      <c r="T28" s="14"/>
      <c r="U28" s="17"/>
    </row>
    <row r="29" spans="2:21" ht="24.95" customHeight="1">
      <c r="B29" s="18"/>
      <c r="C29" s="20"/>
      <c r="D29" s="20"/>
      <c r="E29" s="10" t="s">
        <v>31</v>
      </c>
      <c r="F29" s="23">
        <v>26316000</v>
      </c>
      <c r="G29" s="23">
        <v>26289978.82</v>
      </c>
      <c r="H29" s="12">
        <f>+F29-G29</f>
        <v>26021.179999999702</v>
      </c>
      <c r="I29" s="13"/>
      <c r="J29" s="23"/>
      <c r="K29" s="23"/>
      <c r="L29" s="12">
        <f>+J29-K29</f>
        <v>0</v>
      </c>
      <c r="M29" s="12"/>
      <c r="N29" s="23">
        <v>9678050</v>
      </c>
      <c r="O29" s="23">
        <v>8744308.2599999998</v>
      </c>
      <c r="P29" s="12">
        <f>+N29-O29</f>
        <v>933741.74000000022</v>
      </c>
      <c r="Q29" s="13"/>
      <c r="R29" s="12">
        <f t="shared" ref="R29:S32" si="7">+F29+J29+N29</f>
        <v>35994050</v>
      </c>
      <c r="S29" s="12">
        <f t="shared" si="7"/>
        <v>35034287.079999998</v>
      </c>
      <c r="T29" s="14">
        <f>+R29-S29</f>
        <v>959762.92000000179</v>
      </c>
      <c r="U29" s="17">
        <f t="shared" si="5"/>
        <v>0.97333551184154044</v>
      </c>
    </row>
    <row r="30" spans="2:21" ht="28.5" customHeight="1">
      <c r="B30" s="18"/>
      <c r="C30" s="10"/>
      <c r="D30" s="10"/>
      <c r="E30" s="22" t="s">
        <v>32</v>
      </c>
      <c r="F30" s="12">
        <v>75376000</v>
      </c>
      <c r="G30" s="12">
        <v>27923506.759999998</v>
      </c>
      <c r="H30" s="12">
        <f>+F30-G30</f>
        <v>47452493.240000002</v>
      </c>
      <c r="I30" s="13"/>
      <c r="J30" s="12"/>
      <c r="K30" s="12"/>
      <c r="L30" s="12">
        <f>+J30-K30</f>
        <v>0</v>
      </c>
      <c r="M30" s="12"/>
      <c r="N30" s="12"/>
      <c r="O30" s="12"/>
      <c r="P30" s="12">
        <f>+N30-O30</f>
        <v>0</v>
      </c>
      <c r="Q30" s="13"/>
      <c r="R30" s="12">
        <f t="shared" si="7"/>
        <v>75376000</v>
      </c>
      <c r="S30" s="12">
        <f t="shared" si="7"/>
        <v>27923506.759999998</v>
      </c>
      <c r="T30" s="14">
        <f>+R30-S30</f>
        <v>47452493.240000002</v>
      </c>
      <c r="U30" s="17">
        <f t="shared" si="5"/>
        <v>0.37045620303544891</v>
      </c>
    </row>
    <row r="31" spans="2:21" ht="28.5" customHeight="1">
      <c r="B31" s="18"/>
      <c r="C31" s="10"/>
      <c r="D31" s="10"/>
      <c r="E31" s="22" t="s">
        <v>33</v>
      </c>
      <c r="F31" s="12">
        <v>60318000</v>
      </c>
      <c r="G31" s="12">
        <v>13564105.029999999</v>
      </c>
      <c r="H31" s="12">
        <f>+F31-G31</f>
        <v>46753894.969999999</v>
      </c>
      <c r="I31" s="13"/>
      <c r="J31" s="12"/>
      <c r="K31" s="12"/>
      <c r="L31" s="12">
        <f>+J31-K31</f>
        <v>0</v>
      </c>
      <c r="M31" s="12"/>
      <c r="N31" s="12"/>
      <c r="O31" s="12"/>
      <c r="P31" s="12">
        <f>+N31-O31</f>
        <v>0</v>
      </c>
      <c r="Q31" s="13"/>
      <c r="R31" s="12">
        <f t="shared" si="7"/>
        <v>60318000</v>
      </c>
      <c r="S31" s="12">
        <f t="shared" si="7"/>
        <v>13564105.029999999</v>
      </c>
      <c r="T31" s="14">
        <f>+R31-S31</f>
        <v>46753894.969999999</v>
      </c>
      <c r="U31" s="17">
        <f t="shared" si="5"/>
        <v>0.22487657133857222</v>
      </c>
    </row>
    <row r="32" spans="2:21" ht="28.5" customHeight="1">
      <c r="B32" s="18"/>
      <c r="C32" s="10"/>
      <c r="D32" s="10"/>
      <c r="E32" s="60" t="s">
        <v>34</v>
      </c>
      <c r="F32" s="12">
        <v>6585000</v>
      </c>
      <c r="G32" s="12">
        <v>3142447.26</v>
      </c>
      <c r="H32" s="12">
        <f>+F32-G32</f>
        <v>3442552.74</v>
      </c>
      <c r="I32" s="13"/>
      <c r="J32" s="12"/>
      <c r="K32" s="12"/>
      <c r="L32" s="12">
        <f>+J32-K32</f>
        <v>0</v>
      </c>
      <c r="M32" s="12"/>
      <c r="N32" s="12"/>
      <c r="O32" s="12"/>
      <c r="P32" s="12">
        <f>+N32-O32</f>
        <v>0</v>
      </c>
      <c r="Q32" s="13"/>
      <c r="R32" s="12">
        <f t="shared" si="7"/>
        <v>6585000</v>
      </c>
      <c r="S32" s="12">
        <f t="shared" si="7"/>
        <v>3142447.26</v>
      </c>
      <c r="T32" s="14">
        <f>+R32-S32</f>
        <v>3442552.74</v>
      </c>
      <c r="U32" s="17">
        <f t="shared" si="5"/>
        <v>0.47721294760820043</v>
      </c>
    </row>
    <row r="33" spans="2:23" ht="27.75" customHeight="1">
      <c r="B33" s="18"/>
      <c r="C33" s="10"/>
      <c r="D33" s="10"/>
      <c r="E33" s="22"/>
      <c r="F33" s="12"/>
      <c r="G33" s="12"/>
      <c r="H33" s="12"/>
      <c r="I33" s="13"/>
      <c r="J33" s="12"/>
      <c r="K33" s="12"/>
      <c r="L33" s="12"/>
      <c r="M33" s="12"/>
      <c r="N33" s="12"/>
      <c r="O33" s="12"/>
      <c r="P33" s="12"/>
      <c r="Q33" s="13"/>
      <c r="R33" s="12"/>
      <c r="S33" s="12"/>
      <c r="T33" s="14"/>
      <c r="U33" s="17"/>
    </row>
    <row r="34" spans="2:23" ht="24.95" customHeight="1">
      <c r="B34" s="18"/>
      <c r="C34" s="24" t="s">
        <v>35</v>
      </c>
      <c r="D34" s="10"/>
      <c r="E34" s="22"/>
      <c r="F34" s="12"/>
      <c r="G34" s="12"/>
      <c r="H34" s="12"/>
      <c r="I34" s="13"/>
      <c r="J34" s="12"/>
      <c r="K34" s="12"/>
      <c r="L34" s="12"/>
      <c r="M34" s="12"/>
      <c r="N34" s="12"/>
      <c r="O34" s="12"/>
      <c r="P34" s="12"/>
      <c r="Q34" s="13"/>
      <c r="R34" s="12"/>
      <c r="S34" s="12"/>
      <c r="T34" s="14"/>
      <c r="U34" s="17"/>
    </row>
    <row r="35" spans="2:23" ht="24.95" customHeight="1">
      <c r="B35" s="18"/>
      <c r="C35" s="10"/>
      <c r="D35" s="25" t="s">
        <v>36</v>
      </c>
      <c r="E35" s="26"/>
      <c r="F35" s="12">
        <v>23343000</v>
      </c>
      <c r="G35" s="12">
        <v>11682209.09</v>
      </c>
      <c r="H35" s="12">
        <f>+F35-G35</f>
        <v>11660790.91</v>
      </c>
      <c r="I35" s="13"/>
      <c r="J35" s="12"/>
      <c r="K35" s="12"/>
      <c r="L35" s="12">
        <f>+J35-K35</f>
        <v>0</v>
      </c>
      <c r="M35" s="12"/>
      <c r="N35" s="12"/>
      <c r="O35" s="12"/>
      <c r="P35" s="12">
        <f>+N35-O35</f>
        <v>0</v>
      </c>
      <c r="Q35" s="13"/>
      <c r="R35" s="12">
        <f t="shared" ref="R35:S46" si="8">+F35+J35+N35</f>
        <v>23343000</v>
      </c>
      <c r="S35" s="12">
        <f t="shared" si="8"/>
        <v>11682209.09</v>
      </c>
      <c r="T35" s="14">
        <f>+R35-S35</f>
        <v>11660790.91</v>
      </c>
      <c r="U35" s="17">
        <f t="shared" si="5"/>
        <v>0.50045877093775437</v>
      </c>
    </row>
    <row r="36" spans="2:23" ht="24.95" customHeight="1">
      <c r="B36" s="18"/>
      <c r="C36" s="10"/>
      <c r="D36" s="27" t="s">
        <v>37</v>
      </c>
      <c r="E36" s="22"/>
      <c r="F36" s="12">
        <v>88790000</v>
      </c>
      <c r="G36" s="12">
        <v>88789958.709999993</v>
      </c>
      <c r="H36" s="12">
        <f>+F36-G36</f>
        <v>41.290000006556511</v>
      </c>
      <c r="I36" s="13"/>
      <c r="J36" s="12">
        <v>89000</v>
      </c>
      <c r="K36" s="12">
        <v>89000</v>
      </c>
      <c r="L36" s="12">
        <f>+J36-K36</f>
        <v>0</v>
      </c>
      <c r="M36" s="12"/>
      <c r="N36" s="12">
        <v>1254663</v>
      </c>
      <c r="O36" s="12">
        <v>993048.31</v>
      </c>
      <c r="P36" s="12">
        <f>+N36-O36</f>
        <v>261614.68999999994</v>
      </c>
      <c r="Q36" s="13"/>
      <c r="R36" s="12">
        <f t="shared" si="8"/>
        <v>90133663</v>
      </c>
      <c r="S36" s="12">
        <f t="shared" si="8"/>
        <v>89872007.019999996</v>
      </c>
      <c r="T36" s="14">
        <f>+R36-S36</f>
        <v>261655.98000000417</v>
      </c>
      <c r="U36" s="17">
        <f t="shared" si="5"/>
        <v>0.99709702267398137</v>
      </c>
    </row>
    <row r="37" spans="2:23" ht="24.95" customHeight="1">
      <c r="B37" s="18"/>
      <c r="C37" s="10"/>
      <c r="D37" s="28" t="s">
        <v>38</v>
      </c>
      <c r="E37" s="22"/>
      <c r="F37" s="12">
        <v>98288000</v>
      </c>
      <c r="G37" s="12">
        <v>24458423.009999998</v>
      </c>
      <c r="H37" s="12">
        <f>+F37-G37</f>
        <v>73829576.99000001</v>
      </c>
      <c r="I37" s="13"/>
      <c r="J37" s="12"/>
      <c r="K37" s="12"/>
      <c r="L37" s="12">
        <f>+J37-K37</f>
        <v>0</v>
      </c>
      <c r="M37" s="12"/>
      <c r="N37" s="12">
        <v>1550416.04</v>
      </c>
      <c r="O37" s="12">
        <v>738218.78</v>
      </c>
      <c r="P37" s="12">
        <f>+N37-O37</f>
        <v>812197.26</v>
      </c>
      <c r="Q37" s="13"/>
      <c r="R37" s="12">
        <f t="shared" si="8"/>
        <v>99838416.040000007</v>
      </c>
      <c r="S37" s="12">
        <f t="shared" si="8"/>
        <v>25196641.789999999</v>
      </c>
      <c r="T37" s="14">
        <f>+R37-S37</f>
        <v>74641774.25</v>
      </c>
      <c r="U37" s="17">
        <f t="shared" si="5"/>
        <v>0.25237421414924122</v>
      </c>
    </row>
    <row r="38" spans="2:23" ht="24.95" customHeight="1">
      <c r="B38" s="18"/>
      <c r="C38" s="10"/>
      <c r="D38" s="28" t="s">
        <v>39</v>
      </c>
      <c r="E38" s="22"/>
      <c r="F38" s="12">
        <v>64691246.409999996</v>
      </c>
      <c r="G38" s="12">
        <v>39799101.759999998</v>
      </c>
      <c r="H38" s="12">
        <f>+F38-G38</f>
        <v>24892144.649999999</v>
      </c>
      <c r="I38" s="13"/>
      <c r="J38" s="12"/>
      <c r="K38" s="12"/>
      <c r="L38" s="12">
        <f>+J38-K38</f>
        <v>0</v>
      </c>
      <c r="M38" s="12"/>
      <c r="N38" s="12">
        <v>516289</v>
      </c>
      <c r="O38" s="12">
        <v>169073.57</v>
      </c>
      <c r="P38" s="12">
        <f>+N38-O38</f>
        <v>347215.43</v>
      </c>
      <c r="Q38" s="13"/>
      <c r="R38" s="12">
        <f t="shared" si="8"/>
        <v>65207535.409999996</v>
      </c>
      <c r="S38" s="12">
        <f t="shared" si="8"/>
        <v>39968175.329999998</v>
      </c>
      <c r="T38" s="14">
        <f>+R38-S38</f>
        <v>25239360.079999998</v>
      </c>
      <c r="U38" s="17">
        <f t="shared" si="5"/>
        <v>0.6129379845242644</v>
      </c>
    </row>
    <row r="39" spans="2:23" ht="24.95" customHeight="1">
      <c r="B39" s="18"/>
      <c r="C39" s="10"/>
      <c r="D39" s="28" t="s">
        <v>40</v>
      </c>
      <c r="E39" s="22"/>
      <c r="F39" s="12">
        <v>93283812</v>
      </c>
      <c r="G39" s="12">
        <v>58097640.159999996</v>
      </c>
      <c r="H39" s="12">
        <f t="shared" ref="H39:H44" si="9">+F39-G39</f>
        <v>35186171.840000004</v>
      </c>
      <c r="I39" s="13"/>
      <c r="J39" s="12">
        <v>458660</v>
      </c>
      <c r="K39" s="12"/>
      <c r="L39" s="12">
        <f t="shared" ref="L39:L44" si="10">+J39-K39</f>
        <v>458660</v>
      </c>
      <c r="M39" s="12"/>
      <c r="N39" s="12"/>
      <c r="O39" s="12"/>
      <c r="P39" s="12">
        <f t="shared" ref="P39:P44" si="11">+N39-O39</f>
        <v>0</v>
      </c>
      <c r="Q39" s="13"/>
      <c r="R39" s="12">
        <f t="shared" si="8"/>
        <v>93742472</v>
      </c>
      <c r="S39" s="12">
        <f t="shared" si="8"/>
        <v>58097640.159999996</v>
      </c>
      <c r="T39" s="14">
        <f t="shared" ref="T39:T46" si="12">+R39-S39</f>
        <v>35644831.840000004</v>
      </c>
      <c r="U39" s="17">
        <f t="shared" si="5"/>
        <v>0.61975792744189628</v>
      </c>
    </row>
    <row r="40" spans="2:23" ht="24.95" customHeight="1">
      <c r="B40" s="18"/>
      <c r="C40" s="10"/>
      <c r="D40" s="28" t="s">
        <v>41</v>
      </c>
      <c r="E40" s="22"/>
      <c r="F40" s="12">
        <v>19982000</v>
      </c>
      <c r="G40" s="12">
        <v>18090526.870000001</v>
      </c>
      <c r="H40" s="12">
        <f t="shared" si="9"/>
        <v>1891473.129999999</v>
      </c>
      <c r="I40" s="13"/>
      <c r="J40" s="12"/>
      <c r="K40" s="12"/>
      <c r="L40" s="12">
        <f t="shared" si="10"/>
        <v>0</v>
      </c>
      <c r="M40" s="12"/>
      <c r="N40" s="12">
        <v>1751710</v>
      </c>
      <c r="O40" s="12">
        <v>1429297.3</v>
      </c>
      <c r="P40" s="12">
        <f t="shared" si="11"/>
        <v>322412.69999999995</v>
      </c>
      <c r="Q40" s="13"/>
      <c r="R40" s="12">
        <f t="shared" si="8"/>
        <v>21733710</v>
      </c>
      <c r="S40" s="12">
        <f t="shared" si="8"/>
        <v>19519824.170000002</v>
      </c>
      <c r="T40" s="14">
        <f t="shared" si="12"/>
        <v>2213885.8299999982</v>
      </c>
      <c r="U40" s="17">
        <f t="shared" si="5"/>
        <v>0.89813585301359045</v>
      </c>
    </row>
    <row r="41" spans="2:23" ht="24.95" customHeight="1">
      <c r="B41" s="18"/>
      <c r="C41" s="10"/>
      <c r="D41" s="28" t="s">
        <v>42</v>
      </c>
      <c r="E41" s="22"/>
      <c r="F41" s="12">
        <v>67990000</v>
      </c>
      <c r="G41" s="12">
        <v>31586327.77</v>
      </c>
      <c r="H41" s="12">
        <f t="shared" si="9"/>
        <v>36403672.230000004</v>
      </c>
      <c r="I41" s="13"/>
      <c r="J41" s="12"/>
      <c r="K41" s="12"/>
      <c r="L41" s="12">
        <f t="shared" si="10"/>
        <v>0</v>
      </c>
      <c r="M41" s="12"/>
      <c r="N41" s="12">
        <v>872307</v>
      </c>
      <c r="O41" s="12">
        <v>563212.43000000005</v>
      </c>
      <c r="P41" s="12">
        <f t="shared" si="11"/>
        <v>309094.56999999995</v>
      </c>
      <c r="Q41" s="13"/>
      <c r="R41" s="12">
        <f t="shared" si="8"/>
        <v>68862307</v>
      </c>
      <c r="S41" s="12">
        <f t="shared" si="8"/>
        <v>32149540.199999999</v>
      </c>
      <c r="T41" s="14">
        <f t="shared" si="12"/>
        <v>36712766.799999997</v>
      </c>
      <c r="U41" s="17">
        <f t="shared" si="5"/>
        <v>0.46686702204153574</v>
      </c>
    </row>
    <row r="42" spans="2:23" ht="24.95" customHeight="1">
      <c r="B42" s="18"/>
      <c r="C42" s="10"/>
      <c r="D42" s="25" t="s">
        <v>43</v>
      </c>
      <c r="E42" s="22"/>
      <c r="F42" s="12">
        <v>47404000</v>
      </c>
      <c r="G42" s="12">
        <v>13794766.09</v>
      </c>
      <c r="H42" s="12">
        <f t="shared" si="9"/>
        <v>33609233.909999996</v>
      </c>
      <c r="I42" s="13">
        <v>2208000</v>
      </c>
      <c r="J42" s="12"/>
      <c r="K42" s="12"/>
      <c r="L42" s="12">
        <f t="shared" si="10"/>
        <v>0</v>
      </c>
      <c r="M42" s="12"/>
      <c r="N42" s="12">
        <v>1427882</v>
      </c>
      <c r="O42" s="12">
        <v>1224957.31</v>
      </c>
      <c r="P42" s="12">
        <f t="shared" si="11"/>
        <v>202924.68999999994</v>
      </c>
      <c r="Q42" s="13"/>
      <c r="R42" s="12">
        <f t="shared" si="8"/>
        <v>48831882</v>
      </c>
      <c r="S42" s="12">
        <f t="shared" si="8"/>
        <v>15019723.4</v>
      </c>
      <c r="T42" s="14">
        <f t="shared" si="12"/>
        <v>33812158.600000001</v>
      </c>
      <c r="U42" s="17">
        <f t="shared" si="5"/>
        <v>0.30758026897263557</v>
      </c>
    </row>
    <row r="43" spans="2:23" ht="24.95" customHeight="1">
      <c r="B43" s="18"/>
      <c r="C43" s="10"/>
      <c r="D43" s="27" t="s">
        <v>44</v>
      </c>
      <c r="E43" s="22"/>
      <c r="F43" s="12">
        <v>34491500</v>
      </c>
      <c r="G43" s="12">
        <v>36625372.229999997</v>
      </c>
      <c r="H43" s="12">
        <f t="shared" si="9"/>
        <v>-2133872.2299999967</v>
      </c>
      <c r="I43" s="13"/>
      <c r="J43" s="12"/>
      <c r="K43" s="12"/>
      <c r="L43" s="12">
        <f t="shared" si="10"/>
        <v>0</v>
      </c>
      <c r="M43" s="12"/>
      <c r="N43" s="12"/>
      <c r="O43" s="12"/>
      <c r="P43" s="12">
        <f t="shared" si="11"/>
        <v>0</v>
      </c>
      <c r="Q43" s="13"/>
      <c r="R43" s="12">
        <f t="shared" si="8"/>
        <v>34491500</v>
      </c>
      <c r="S43" s="12">
        <f t="shared" si="8"/>
        <v>36625372.229999997</v>
      </c>
      <c r="T43" s="14">
        <f t="shared" si="12"/>
        <v>-2133872.2299999967</v>
      </c>
      <c r="U43" s="17">
        <f t="shared" si="5"/>
        <v>1.0618666114839888</v>
      </c>
    </row>
    <row r="44" spans="2:23" ht="24.95" customHeight="1">
      <c r="B44" s="18"/>
      <c r="C44" s="10"/>
      <c r="D44" s="28" t="s">
        <v>45</v>
      </c>
      <c r="E44" s="22"/>
      <c r="F44" s="12">
        <v>46914000</v>
      </c>
      <c r="G44" s="12">
        <v>19894344.109999999</v>
      </c>
      <c r="H44" s="12">
        <f t="shared" si="9"/>
        <v>27019655.890000001</v>
      </c>
      <c r="I44" s="13"/>
      <c r="J44" s="12"/>
      <c r="K44" s="12"/>
      <c r="L44" s="12">
        <f t="shared" si="10"/>
        <v>0</v>
      </c>
      <c r="M44" s="12"/>
      <c r="N44" s="12">
        <v>1033360</v>
      </c>
      <c r="O44" s="12">
        <v>1441404.34</v>
      </c>
      <c r="P44" s="12">
        <f t="shared" si="11"/>
        <v>-408044.34000000008</v>
      </c>
      <c r="Q44" s="13"/>
      <c r="R44" s="12">
        <f t="shared" si="8"/>
        <v>47947360</v>
      </c>
      <c r="S44" s="12">
        <f t="shared" si="8"/>
        <v>21335748.449999999</v>
      </c>
      <c r="T44" s="14">
        <f t="shared" si="12"/>
        <v>26611611.550000001</v>
      </c>
      <c r="U44" s="17">
        <f t="shared" si="5"/>
        <v>0.44498275713198804</v>
      </c>
    </row>
    <row r="45" spans="2:23" ht="24.95" customHeight="1">
      <c r="B45" s="18"/>
      <c r="C45" s="10"/>
      <c r="D45" s="29" t="s">
        <v>46</v>
      </c>
      <c r="E45" s="22"/>
      <c r="F45" s="12">
        <v>56861000</v>
      </c>
      <c r="G45" s="12">
        <v>20463037.82</v>
      </c>
      <c r="H45" s="12">
        <f>+F45-G45</f>
        <v>36397962.18</v>
      </c>
      <c r="I45" s="13"/>
      <c r="J45" s="12"/>
      <c r="K45" s="12"/>
      <c r="L45" s="12">
        <f>+J45-K45</f>
        <v>0</v>
      </c>
      <c r="M45" s="12"/>
      <c r="N45" s="12">
        <v>391519</v>
      </c>
      <c r="O45" s="12">
        <f>375644.7+255037.59</f>
        <v>630682.29</v>
      </c>
      <c r="P45" s="12">
        <f>+N45-O45</f>
        <v>-239163.29000000004</v>
      </c>
      <c r="Q45" s="13"/>
      <c r="R45" s="12">
        <f>+F45+J45+N45</f>
        <v>57252519</v>
      </c>
      <c r="S45" s="12">
        <f t="shared" si="8"/>
        <v>21093720.109999999</v>
      </c>
      <c r="T45" s="14">
        <f t="shared" si="12"/>
        <v>36158798.890000001</v>
      </c>
      <c r="U45" s="17">
        <f t="shared" si="5"/>
        <v>0.36843304850918435</v>
      </c>
      <c r="W45" s="30"/>
    </row>
    <row r="46" spans="2:23" ht="24.95" customHeight="1">
      <c r="B46" s="18"/>
      <c r="C46" s="10"/>
      <c r="D46" s="25" t="s">
        <v>47</v>
      </c>
      <c r="E46" s="22"/>
      <c r="F46" s="12">
        <v>38769500</v>
      </c>
      <c r="G46" s="12">
        <v>10282744.59</v>
      </c>
      <c r="H46" s="12">
        <f>+F46-G46</f>
        <v>28486755.41</v>
      </c>
      <c r="I46" s="13"/>
      <c r="J46" s="12"/>
      <c r="K46" s="12"/>
      <c r="L46" s="12">
        <f>+J46-K46</f>
        <v>0</v>
      </c>
      <c r="M46" s="12"/>
      <c r="N46" s="12"/>
      <c r="O46" s="12"/>
      <c r="P46" s="12">
        <f>+N46-O46</f>
        <v>0</v>
      </c>
      <c r="Q46" s="13"/>
      <c r="R46" s="12">
        <f>+F46+J46+N46</f>
        <v>38769500</v>
      </c>
      <c r="S46" s="12">
        <f t="shared" si="8"/>
        <v>10282744.59</v>
      </c>
      <c r="T46" s="14">
        <f t="shared" si="12"/>
        <v>28486755.41</v>
      </c>
      <c r="U46" s="17">
        <f t="shared" si="5"/>
        <v>0.26522768129586399</v>
      </c>
    </row>
    <row r="47" spans="2:23" ht="27.75" customHeight="1">
      <c r="B47" s="18"/>
      <c r="C47" s="10"/>
      <c r="D47" s="10"/>
      <c r="E47" s="22"/>
      <c r="F47" s="12"/>
      <c r="G47" s="12"/>
      <c r="H47" s="12"/>
      <c r="I47" s="13"/>
      <c r="J47" s="12"/>
      <c r="K47" s="12"/>
      <c r="L47" s="12"/>
      <c r="M47" s="12"/>
      <c r="N47" s="12"/>
      <c r="O47" s="12"/>
      <c r="P47" s="12"/>
      <c r="Q47" s="13"/>
      <c r="R47" s="12"/>
      <c r="S47" s="12"/>
      <c r="T47" s="14"/>
      <c r="U47" s="17"/>
    </row>
    <row r="48" spans="2:23" ht="24.95" customHeight="1">
      <c r="B48" s="18"/>
      <c r="C48" s="24" t="s">
        <v>48</v>
      </c>
      <c r="D48" s="10"/>
      <c r="E48" s="22"/>
      <c r="F48" s="12"/>
      <c r="G48" s="12"/>
      <c r="H48" s="12"/>
      <c r="I48" s="13"/>
      <c r="J48" s="12"/>
      <c r="K48" s="12"/>
      <c r="L48" s="12"/>
      <c r="M48" s="12"/>
      <c r="N48" s="12"/>
      <c r="O48" s="12"/>
      <c r="P48" s="12"/>
      <c r="Q48" s="13"/>
      <c r="R48" s="12"/>
      <c r="S48" s="12"/>
      <c r="T48" s="14"/>
      <c r="U48" s="17"/>
    </row>
    <row r="49" spans="2:21" ht="24.95" customHeight="1">
      <c r="B49" s="18"/>
      <c r="C49" s="10"/>
      <c r="D49" s="10"/>
      <c r="E49" s="10" t="s">
        <v>49</v>
      </c>
      <c r="F49" s="12">
        <v>20356000</v>
      </c>
      <c r="G49" s="12">
        <v>6033528.2599999998</v>
      </c>
      <c r="H49" s="12">
        <f>+F49-G49</f>
        <v>14322471.74</v>
      </c>
      <c r="I49" s="13"/>
      <c r="J49" s="12"/>
      <c r="K49" s="12"/>
      <c r="L49" s="12">
        <f>+J49-K49</f>
        <v>0</v>
      </c>
      <c r="M49" s="12"/>
      <c r="N49" s="12"/>
      <c r="O49" s="12"/>
      <c r="P49" s="12">
        <f>+N49-O49</f>
        <v>0</v>
      </c>
      <c r="Q49" s="13"/>
      <c r="R49" s="12">
        <f>+F49+J49+N49</f>
        <v>20356000</v>
      </c>
      <c r="S49" s="12">
        <f>+G49+K49+O49</f>
        <v>6033528.2599999998</v>
      </c>
      <c r="T49" s="14">
        <f>+R49-S49</f>
        <v>14322471.74</v>
      </c>
      <c r="U49" s="17">
        <f t="shared" si="5"/>
        <v>0.29640048437807032</v>
      </c>
    </row>
    <row r="50" spans="2:21" ht="24.95" customHeight="1">
      <c r="B50" s="18"/>
      <c r="C50" s="10"/>
      <c r="D50" s="10"/>
      <c r="E50" s="10" t="s">
        <v>50</v>
      </c>
      <c r="F50" s="12">
        <v>25474000</v>
      </c>
      <c r="G50" s="12">
        <v>23853862.960000001</v>
      </c>
      <c r="H50" s="12">
        <f>+F50-G50</f>
        <v>1620137.0399999991</v>
      </c>
      <c r="I50" s="13"/>
      <c r="J50" s="12"/>
      <c r="K50" s="12"/>
      <c r="L50" s="12">
        <f>+J50-K50</f>
        <v>0</v>
      </c>
      <c r="M50" s="12"/>
      <c r="N50" s="12">
        <v>536533</v>
      </c>
      <c r="O50" s="12">
        <v>286887.90000000002</v>
      </c>
      <c r="P50" s="12">
        <f>+N50-O50</f>
        <v>249645.09999999998</v>
      </c>
      <c r="Q50" s="13"/>
      <c r="R50" s="12">
        <f>+F50+J50+N50</f>
        <v>26010533</v>
      </c>
      <c r="S50" s="12">
        <f>+G50+K50+O50</f>
        <v>24140750.859999999</v>
      </c>
      <c r="T50" s="14">
        <f>+R50-S50</f>
        <v>1869782.1400000006</v>
      </c>
      <c r="U50" s="17">
        <f t="shared" si="5"/>
        <v>0.9281144242603564</v>
      </c>
    </row>
    <row r="51" spans="2:21" ht="27.75" customHeight="1">
      <c r="B51" s="18"/>
      <c r="C51" s="10"/>
      <c r="D51" s="10"/>
      <c r="E51" s="31" t="s">
        <v>51</v>
      </c>
      <c r="F51" s="32">
        <f t="shared" ref="F51:T51" si="13">SUM(F13:F48)</f>
        <v>1026848993.41</v>
      </c>
      <c r="G51" s="32">
        <f t="shared" si="13"/>
        <v>582079705.62</v>
      </c>
      <c r="H51" s="32">
        <f t="shared" si="13"/>
        <v>444769287.79000008</v>
      </c>
      <c r="I51" s="32">
        <f t="shared" si="13"/>
        <v>2208000</v>
      </c>
      <c r="J51" s="32">
        <f>SUM(J13:J48)</f>
        <v>7797660</v>
      </c>
      <c r="K51" s="32">
        <f>SUM(K13:K48)</f>
        <v>7339000</v>
      </c>
      <c r="L51" s="32">
        <f>SUM(L13:L48)</f>
        <v>458660</v>
      </c>
      <c r="M51" s="32">
        <f t="shared" si="13"/>
        <v>0</v>
      </c>
      <c r="N51" s="32">
        <f>SUM(N13:N48)</f>
        <v>114489865.04000001</v>
      </c>
      <c r="O51" s="32">
        <f>SUM(O13:O48)</f>
        <v>20728111.719999999</v>
      </c>
      <c r="P51" s="32">
        <f>SUM(P13:P48)</f>
        <v>93761753.319999993</v>
      </c>
      <c r="Q51" s="32">
        <f t="shared" si="13"/>
        <v>0</v>
      </c>
      <c r="R51" s="32">
        <f t="shared" si="13"/>
        <v>1149136518.4499998</v>
      </c>
      <c r="S51" s="32">
        <f t="shared" si="13"/>
        <v>610146817.34000003</v>
      </c>
      <c r="T51" s="32">
        <f t="shared" si="13"/>
        <v>538989701.11000001</v>
      </c>
      <c r="U51" s="17">
        <f t="shared" si="5"/>
        <v>0.53096112389064953</v>
      </c>
    </row>
    <row r="52" spans="2:21" ht="27.75" customHeight="1">
      <c r="B52" s="18"/>
      <c r="C52" s="10"/>
      <c r="D52" s="10"/>
      <c r="E52" s="31"/>
      <c r="F52" s="32"/>
      <c r="G52" s="32"/>
      <c r="H52" s="32"/>
      <c r="I52" s="33"/>
      <c r="J52" s="32"/>
      <c r="K52" s="32"/>
      <c r="L52" s="32"/>
      <c r="M52" s="32"/>
      <c r="N52" s="32"/>
      <c r="O52" s="32"/>
      <c r="P52" s="32"/>
      <c r="Q52" s="33"/>
      <c r="R52" s="32"/>
      <c r="S52" s="32"/>
      <c r="T52" s="34"/>
      <c r="U52" s="17"/>
    </row>
    <row r="53" spans="2:21" ht="24.95" customHeight="1">
      <c r="B53" s="18"/>
      <c r="C53" s="24" t="s">
        <v>52</v>
      </c>
      <c r="D53" s="10"/>
      <c r="E53" s="22"/>
      <c r="F53" s="12">
        <f>SUM(F55:F80)</f>
        <v>329835222</v>
      </c>
      <c r="G53" s="12">
        <f t="shared" ref="G53:T53" si="14">SUM(G55:G80)</f>
        <v>240088017.36000004</v>
      </c>
      <c r="H53" s="12">
        <f t="shared" si="14"/>
        <v>89747204.640000015</v>
      </c>
      <c r="I53" s="12">
        <f t="shared" si="14"/>
        <v>0</v>
      </c>
      <c r="J53" s="12">
        <f>SUM(J55:J80)</f>
        <v>9422892</v>
      </c>
      <c r="K53" s="12">
        <f>SUM(K55:K80)</f>
        <v>9422892</v>
      </c>
      <c r="L53" s="12">
        <f>SUM(L55:L80)</f>
        <v>0</v>
      </c>
      <c r="M53" s="12">
        <f t="shared" si="14"/>
        <v>0</v>
      </c>
      <c r="N53" s="12">
        <f>SUM(N55:N80)</f>
        <v>25798028.109999999</v>
      </c>
      <c r="O53" s="12">
        <f>SUM(O55:O80)</f>
        <v>9545743.2899999991</v>
      </c>
      <c r="P53" s="12">
        <f>SUM(P55:P80)</f>
        <v>16252284.82</v>
      </c>
      <c r="Q53" s="12">
        <f t="shared" si="14"/>
        <v>0</v>
      </c>
      <c r="R53" s="12">
        <f t="shared" si="14"/>
        <v>365056142.11000001</v>
      </c>
      <c r="S53" s="12">
        <f t="shared" si="14"/>
        <v>259056652.65000004</v>
      </c>
      <c r="T53" s="14">
        <f t="shared" si="14"/>
        <v>105999489.46000001</v>
      </c>
      <c r="U53" s="17">
        <f>+S53/R53</f>
        <v>0.70963510202203406</v>
      </c>
    </row>
    <row r="54" spans="2:21" ht="24.95" customHeight="1">
      <c r="B54" s="18"/>
      <c r="C54" s="20" t="s">
        <v>53</v>
      </c>
      <c r="D54" s="20"/>
      <c r="E54" s="10"/>
      <c r="F54" s="12"/>
      <c r="G54" s="12"/>
      <c r="H54" s="12">
        <f t="shared" ref="H54:H59" si="15">+F54-G54</f>
        <v>0</v>
      </c>
      <c r="I54" s="13"/>
      <c r="J54" s="12"/>
      <c r="K54" s="12"/>
      <c r="L54" s="12">
        <f t="shared" ref="L54:L59" si="16">+J54-K54</f>
        <v>0</v>
      </c>
      <c r="M54" s="12"/>
      <c r="N54" s="12"/>
      <c r="O54" s="12"/>
      <c r="P54" s="12">
        <f t="shared" ref="P54:P59" si="17">+N54-O54</f>
        <v>0</v>
      </c>
      <c r="Q54" s="13"/>
      <c r="R54" s="12"/>
      <c r="S54" s="12"/>
      <c r="T54" s="14"/>
      <c r="U54" s="17"/>
    </row>
    <row r="55" spans="2:21" ht="24.95" customHeight="1">
      <c r="B55" s="18"/>
      <c r="C55" s="20"/>
      <c r="D55" s="20"/>
      <c r="E55" s="10" t="s">
        <v>54</v>
      </c>
      <c r="F55" s="35">
        <v>43475000</v>
      </c>
      <c r="G55" s="36">
        <v>31628915.510000002</v>
      </c>
      <c r="H55" s="12">
        <f t="shared" si="15"/>
        <v>11846084.489999998</v>
      </c>
      <c r="I55" s="13"/>
      <c r="J55" s="35"/>
      <c r="K55" s="35"/>
      <c r="L55" s="12">
        <f t="shared" si="16"/>
        <v>0</v>
      </c>
      <c r="M55" s="12"/>
      <c r="N55" s="35"/>
      <c r="O55" s="35"/>
      <c r="P55" s="12">
        <f t="shared" si="17"/>
        <v>0</v>
      </c>
      <c r="Q55" s="13"/>
      <c r="R55" s="12">
        <f>+F55+J55+N55</f>
        <v>43475000</v>
      </c>
      <c r="S55" s="12">
        <f t="shared" ref="R55:S59" si="18">+G55+K55+O55</f>
        <v>31628915.510000002</v>
      </c>
      <c r="T55" s="14">
        <f>+R55-S55</f>
        <v>11846084.489999998</v>
      </c>
      <c r="U55" s="17">
        <f t="shared" si="5"/>
        <v>0.72751962070155263</v>
      </c>
    </row>
    <row r="56" spans="2:21" ht="30" customHeight="1">
      <c r="B56" s="18"/>
      <c r="C56" s="10"/>
      <c r="D56" s="10"/>
      <c r="E56" s="21" t="s">
        <v>55</v>
      </c>
      <c r="F56" s="36">
        <v>32579000</v>
      </c>
      <c r="G56" s="37">
        <v>26274797.239999998</v>
      </c>
      <c r="H56" s="12">
        <f t="shared" si="15"/>
        <v>6304202.7600000016</v>
      </c>
      <c r="I56" s="13"/>
      <c r="J56" s="36"/>
      <c r="K56" s="37"/>
      <c r="L56" s="12">
        <f t="shared" si="16"/>
        <v>0</v>
      </c>
      <c r="M56" s="38"/>
      <c r="N56" s="36"/>
      <c r="O56" s="37"/>
      <c r="P56" s="12">
        <f t="shared" si="17"/>
        <v>0</v>
      </c>
      <c r="Q56" s="39"/>
      <c r="R56" s="38">
        <f t="shared" si="18"/>
        <v>32579000</v>
      </c>
      <c r="S56" s="38">
        <f t="shared" si="18"/>
        <v>26274797.239999998</v>
      </c>
      <c r="T56" s="40">
        <f>+R56-S56</f>
        <v>6304202.7600000016</v>
      </c>
      <c r="U56" s="17">
        <f t="shared" si="5"/>
        <v>0.80649489671260621</v>
      </c>
    </row>
    <row r="57" spans="2:21" ht="30" customHeight="1">
      <c r="B57" s="18"/>
      <c r="C57" s="10"/>
      <c r="D57" s="10"/>
      <c r="E57" s="21" t="s">
        <v>56</v>
      </c>
      <c r="F57" s="12">
        <v>4916000</v>
      </c>
      <c r="G57" s="12">
        <v>2973731.75</v>
      </c>
      <c r="H57" s="12">
        <f t="shared" si="15"/>
        <v>1942268.25</v>
      </c>
      <c r="I57" s="13"/>
      <c r="J57" s="12"/>
      <c r="K57" s="12"/>
      <c r="L57" s="12">
        <f t="shared" si="16"/>
        <v>0</v>
      </c>
      <c r="M57" s="12"/>
      <c r="N57" s="12"/>
      <c r="O57" s="12"/>
      <c r="P57" s="12">
        <f t="shared" si="17"/>
        <v>0</v>
      </c>
      <c r="Q57" s="13"/>
      <c r="R57" s="12">
        <f t="shared" si="18"/>
        <v>4916000</v>
      </c>
      <c r="S57" s="12">
        <f t="shared" si="18"/>
        <v>2973731.75</v>
      </c>
      <c r="T57" s="14">
        <f>+R57-S57</f>
        <v>1942268.25</v>
      </c>
      <c r="U57" s="17">
        <f t="shared" si="5"/>
        <v>0.60490881814483322</v>
      </c>
    </row>
    <row r="58" spans="2:21" ht="24.95" customHeight="1">
      <c r="B58" s="18"/>
      <c r="C58" s="10"/>
      <c r="D58" s="10"/>
      <c r="E58" s="28" t="s">
        <v>57</v>
      </c>
      <c r="F58" s="12">
        <v>1668000</v>
      </c>
      <c r="G58" s="12">
        <v>1360743.11</v>
      </c>
      <c r="H58" s="12">
        <f t="shared" si="15"/>
        <v>307256.8899999999</v>
      </c>
      <c r="I58" s="13"/>
      <c r="J58" s="12"/>
      <c r="K58" s="12"/>
      <c r="L58" s="12">
        <f t="shared" si="16"/>
        <v>0</v>
      </c>
      <c r="M58" s="12"/>
      <c r="N58" s="12"/>
      <c r="O58" s="12"/>
      <c r="P58" s="12">
        <f t="shared" si="17"/>
        <v>0</v>
      </c>
      <c r="Q58" s="13"/>
      <c r="R58" s="12">
        <f t="shared" si="18"/>
        <v>1668000</v>
      </c>
      <c r="S58" s="12">
        <f t="shared" si="18"/>
        <v>1360743.11</v>
      </c>
      <c r="T58" s="14">
        <f>+R58-S58</f>
        <v>307256.8899999999</v>
      </c>
      <c r="U58" s="17">
        <f t="shared" si="5"/>
        <v>0.81579323141486815</v>
      </c>
    </row>
    <row r="59" spans="2:21" ht="29.25" customHeight="1">
      <c r="B59" s="18"/>
      <c r="C59" s="10"/>
      <c r="D59" s="10"/>
      <c r="E59" s="21" t="s">
        <v>58</v>
      </c>
      <c r="F59" s="12">
        <v>2657000</v>
      </c>
      <c r="G59" s="12">
        <v>2589456.31</v>
      </c>
      <c r="H59" s="12">
        <f t="shared" si="15"/>
        <v>67543.689999999944</v>
      </c>
      <c r="I59" s="13"/>
      <c r="J59" s="12"/>
      <c r="K59" s="12"/>
      <c r="L59" s="12">
        <f t="shared" si="16"/>
        <v>0</v>
      </c>
      <c r="M59" s="12"/>
      <c r="N59" s="12"/>
      <c r="O59" s="12"/>
      <c r="P59" s="12">
        <f t="shared" si="17"/>
        <v>0</v>
      </c>
      <c r="Q59" s="13"/>
      <c r="R59" s="12">
        <f t="shared" si="18"/>
        <v>2657000</v>
      </c>
      <c r="S59" s="12">
        <f t="shared" si="18"/>
        <v>2589456.31</v>
      </c>
      <c r="T59" s="14">
        <f>+R59-S59</f>
        <v>67543.689999999944</v>
      </c>
      <c r="U59" s="17">
        <f t="shared" si="5"/>
        <v>0.97457896499811825</v>
      </c>
    </row>
    <row r="60" spans="2:21" ht="24.95" customHeight="1">
      <c r="B60" s="18"/>
      <c r="C60" s="10"/>
      <c r="D60" s="10"/>
      <c r="E60" s="21"/>
      <c r="F60" s="12"/>
      <c r="G60" s="12"/>
      <c r="H60" s="12"/>
      <c r="I60" s="13"/>
      <c r="J60" s="12"/>
      <c r="K60" s="12"/>
      <c r="L60" s="12"/>
      <c r="M60" s="12"/>
      <c r="N60" s="12"/>
      <c r="O60" s="12"/>
      <c r="P60" s="12"/>
      <c r="Q60" s="13"/>
      <c r="R60" s="12"/>
      <c r="S60" s="12"/>
      <c r="T60" s="14"/>
      <c r="U60" s="17"/>
    </row>
    <row r="61" spans="2:21" ht="24.95" customHeight="1">
      <c r="B61" s="18"/>
      <c r="C61" s="20" t="s">
        <v>59</v>
      </c>
      <c r="D61" s="20"/>
      <c r="E61" s="10"/>
      <c r="F61" s="12"/>
      <c r="G61" s="12"/>
      <c r="H61" s="12"/>
      <c r="I61" s="13"/>
      <c r="J61" s="12"/>
      <c r="K61" s="12"/>
      <c r="L61" s="12"/>
      <c r="M61" s="12"/>
      <c r="N61" s="12"/>
      <c r="O61" s="12"/>
      <c r="P61" s="12"/>
      <c r="Q61" s="13"/>
      <c r="R61" s="12"/>
      <c r="S61" s="12"/>
      <c r="T61" s="14"/>
      <c r="U61" s="17"/>
    </row>
    <row r="62" spans="2:21" ht="24.95" customHeight="1">
      <c r="B62" s="18"/>
      <c r="C62" s="20"/>
      <c r="D62" s="20"/>
      <c r="E62" s="10" t="s">
        <v>60</v>
      </c>
      <c r="F62" s="12">
        <v>18310723</v>
      </c>
      <c r="G62" s="12">
        <v>14504457.050000001</v>
      </c>
      <c r="H62" s="12">
        <f>+F62-G62</f>
        <v>3806265.9499999993</v>
      </c>
      <c r="I62" s="13"/>
      <c r="J62" s="12"/>
      <c r="K62" s="12"/>
      <c r="L62" s="12">
        <f>+J62-K62</f>
        <v>0</v>
      </c>
      <c r="M62" s="12"/>
      <c r="N62" s="12">
        <v>226011</v>
      </c>
      <c r="O62" s="12">
        <v>595273.9</v>
      </c>
      <c r="P62" s="12">
        <f>+N62-O62</f>
        <v>-369262.9</v>
      </c>
      <c r="Q62" s="13"/>
      <c r="R62" s="12">
        <f t="shared" ref="R62:S65" si="19">+F62+J62+N62</f>
        <v>18536734</v>
      </c>
      <c r="S62" s="12">
        <f t="shared" si="19"/>
        <v>15099730.950000001</v>
      </c>
      <c r="T62" s="14">
        <f>+R62-S62</f>
        <v>3437003.0499999989</v>
      </c>
      <c r="U62" s="17">
        <f t="shared" si="5"/>
        <v>0.81458421693918681</v>
      </c>
    </row>
    <row r="63" spans="2:21" ht="30" customHeight="1">
      <c r="B63" s="18"/>
      <c r="C63" s="10"/>
      <c r="D63" s="10"/>
      <c r="E63" s="21" t="s">
        <v>61</v>
      </c>
      <c r="F63" s="12">
        <v>15195849</v>
      </c>
      <c r="G63" s="12">
        <v>9818166.5</v>
      </c>
      <c r="H63" s="12">
        <f>+F63-G63</f>
        <v>5377682.5</v>
      </c>
      <c r="I63" s="13"/>
      <c r="J63" s="12"/>
      <c r="K63" s="12"/>
      <c r="L63" s="12">
        <f>+J63-K63</f>
        <v>0</v>
      </c>
      <c r="M63" s="12"/>
      <c r="N63" s="12"/>
      <c r="O63" s="12"/>
      <c r="P63" s="12">
        <f>+N63-O63</f>
        <v>0</v>
      </c>
      <c r="Q63" s="13"/>
      <c r="R63" s="12">
        <f t="shared" si="19"/>
        <v>15195849</v>
      </c>
      <c r="S63" s="12">
        <f t="shared" si="19"/>
        <v>9818166.5</v>
      </c>
      <c r="T63" s="14">
        <f>+R63-S63</f>
        <v>5377682.5</v>
      </c>
      <c r="U63" s="17">
        <f t="shared" si="5"/>
        <v>0.6461084536967957</v>
      </c>
    </row>
    <row r="64" spans="2:21" ht="30" customHeight="1">
      <c r="B64" s="18"/>
      <c r="C64" s="10"/>
      <c r="D64" s="10"/>
      <c r="E64" s="22" t="s">
        <v>62</v>
      </c>
      <c r="F64" s="12">
        <v>17177299</v>
      </c>
      <c r="G64" s="12">
        <v>15618275.449999997</v>
      </c>
      <c r="H64" s="12">
        <f>+F64-G64</f>
        <v>1559023.5500000026</v>
      </c>
      <c r="I64" s="13"/>
      <c r="J64" s="12"/>
      <c r="K64" s="12"/>
      <c r="L64" s="12">
        <f>+J64-K64</f>
        <v>0</v>
      </c>
      <c r="M64" s="12"/>
      <c r="N64" s="12">
        <v>156714.00000000006</v>
      </c>
      <c r="O64" s="12">
        <v>2124726.31</v>
      </c>
      <c r="P64" s="12">
        <f>+N64-O64</f>
        <v>-1968012.31</v>
      </c>
      <c r="Q64" s="13"/>
      <c r="R64" s="12">
        <f t="shared" si="19"/>
        <v>17334013</v>
      </c>
      <c r="S64" s="12">
        <f t="shared" si="19"/>
        <v>17743001.759999998</v>
      </c>
      <c r="T64" s="14">
        <f>+R64-S64</f>
        <v>-408988.75999999791</v>
      </c>
      <c r="U64" s="17">
        <f t="shared" si="5"/>
        <v>1.0235945802048261</v>
      </c>
    </row>
    <row r="65" spans="2:21" ht="30" customHeight="1">
      <c r="B65" s="18"/>
      <c r="C65" s="10"/>
      <c r="D65" s="10"/>
      <c r="E65" s="21" t="s">
        <v>63</v>
      </c>
      <c r="F65" s="12">
        <v>18081483</v>
      </c>
      <c r="G65" s="12">
        <v>12771016.449999999</v>
      </c>
      <c r="H65" s="12">
        <f>+F65-G65</f>
        <v>5310466.5500000007</v>
      </c>
      <c r="I65" s="13"/>
      <c r="J65" s="12"/>
      <c r="K65" s="12"/>
      <c r="L65" s="12">
        <f>+J65-K65</f>
        <v>0</v>
      </c>
      <c r="M65" s="12"/>
      <c r="N65" s="12">
        <v>5615320</v>
      </c>
      <c r="O65" s="12">
        <v>5615319.25</v>
      </c>
      <c r="P65" s="12">
        <f>+N65-O65</f>
        <v>0.75</v>
      </c>
      <c r="Q65" s="13"/>
      <c r="R65" s="12">
        <f t="shared" si="19"/>
        <v>23696803</v>
      </c>
      <c r="S65" s="12">
        <f t="shared" si="19"/>
        <v>18386335.699999999</v>
      </c>
      <c r="T65" s="14">
        <f>+R65-S65</f>
        <v>5310467.3000000007</v>
      </c>
      <c r="U65" s="17">
        <f t="shared" si="5"/>
        <v>0.77589941985001099</v>
      </c>
    </row>
    <row r="66" spans="2:21" ht="24.95" customHeight="1">
      <c r="B66" s="18"/>
      <c r="C66" s="10"/>
      <c r="D66" s="10"/>
      <c r="E66" s="21"/>
      <c r="F66" s="12"/>
      <c r="G66" s="12"/>
      <c r="H66" s="12"/>
      <c r="I66" s="13"/>
      <c r="J66" s="12"/>
      <c r="K66" s="12"/>
      <c r="L66" s="12"/>
      <c r="M66" s="12"/>
      <c r="N66" s="12"/>
      <c r="O66" s="12"/>
      <c r="P66" s="12"/>
      <c r="Q66" s="13"/>
      <c r="R66" s="12"/>
      <c r="S66" s="12"/>
      <c r="T66" s="14"/>
      <c r="U66" s="17"/>
    </row>
    <row r="67" spans="2:21" ht="24.95" customHeight="1">
      <c r="B67" s="18"/>
      <c r="C67" s="20" t="s">
        <v>64</v>
      </c>
      <c r="D67" s="20"/>
      <c r="E67" s="10"/>
      <c r="F67" s="12"/>
      <c r="G67" s="12"/>
      <c r="H67" s="12"/>
      <c r="I67" s="13"/>
      <c r="J67" s="12"/>
      <c r="K67" s="12"/>
      <c r="L67" s="12"/>
      <c r="M67" s="12"/>
      <c r="N67" s="12"/>
      <c r="O67" s="12"/>
      <c r="P67" s="12"/>
      <c r="Q67" s="13"/>
      <c r="R67" s="12"/>
      <c r="S67" s="12"/>
      <c r="T67" s="14"/>
      <c r="U67" s="17"/>
    </row>
    <row r="68" spans="2:21" ht="24.95" customHeight="1">
      <c r="B68" s="18"/>
      <c r="C68" s="20"/>
      <c r="D68" s="20"/>
      <c r="E68" s="10" t="s">
        <v>65</v>
      </c>
      <c r="F68" s="12">
        <v>17382000</v>
      </c>
      <c r="G68" s="12">
        <v>17342023.75</v>
      </c>
      <c r="H68" s="12">
        <f>+F68-G68</f>
        <v>39976.25</v>
      </c>
      <c r="I68" s="13"/>
      <c r="J68" s="12">
        <v>9422892</v>
      </c>
      <c r="K68" s="12">
        <v>9422892</v>
      </c>
      <c r="L68" s="12">
        <f>+J68-K68</f>
        <v>0</v>
      </c>
      <c r="M68" s="12"/>
      <c r="N68" s="12">
        <v>120921</v>
      </c>
      <c r="O68" s="12">
        <v>120920.46</v>
      </c>
      <c r="P68" s="12">
        <f>+N68-O68</f>
        <v>0.53999999999359716</v>
      </c>
      <c r="Q68" s="13"/>
      <c r="R68" s="12">
        <f t="shared" ref="R68:S72" si="20">+F68+J68+N68</f>
        <v>26925813</v>
      </c>
      <c r="S68" s="12">
        <f t="shared" si="20"/>
        <v>26885836.210000001</v>
      </c>
      <c r="T68" s="14">
        <f>+R68-S68</f>
        <v>39976.789999999106</v>
      </c>
      <c r="U68" s="17">
        <f t="shared" si="5"/>
        <v>0.99851529868383182</v>
      </c>
    </row>
    <row r="69" spans="2:21" ht="30.75" customHeight="1">
      <c r="B69" s="18"/>
      <c r="C69" s="10"/>
      <c r="D69" s="10"/>
      <c r="E69" s="21" t="s">
        <v>66</v>
      </c>
      <c r="F69" s="12">
        <v>41464000</v>
      </c>
      <c r="G69" s="12">
        <v>17486263.140000001</v>
      </c>
      <c r="H69" s="12">
        <f>+F69-G69</f>
        <v>23977736.859999999</v>
      </c>
      <c r="I69" s="13"/>
      <c r="J69" s="12"/>
      <c r="K69" s="12"/>
      <c r="L69" s="12">
        <f>+J69-K69</f>
        <v>0</v>
      </c>
      <c r="M69" s="12"/>
      <c r="N69" s="12"/>
      <c r="O69" s="12"/>
      <c r="P69" s="12">
        <f>+N69-O69</f>
        <v>0</v>
      </c>
      <c r="Q69" s="13"/>
      <c r="R69" s="12">
        <f t="shared" si="20"/>
        <v>41464000</v>
      </c>
      <c r="S69" s="12">
        <f t="shared" si="20"/>
        <v>17486263.140000001</v>
      </c>
      <c r="T69" s="14">
        <f>+R69-S69</f>
        <v>23977736.859999999</v>
      </c>
      <c r="U69" s="17">
        <f t="shared" si="5"/>
        <v>0.42172156907196606</v>
      </c>
    </row>
    <row r="70" spans="2:21" ht="30.75" customHeight="1">
      <c r="B70" s="18"/>
      <c r="C70" s="10"/>
      <c r="D70" s="10"/>
      <c r="E70" s="21" t="s">
        <v>67</v>
      </c>
      <c r="F70" s="12">
        <v>11592000</v>
      </c>
      <c r="G70" s="12">
        <v>7868021.0499999998</v>
      </c>
      <c r="H70" s="12">
        <f>+F70-G70</f>
        <v>3723978.95</v>
      </c>
      <c r="I70" s="13"/>
      <c r="J70" s="12"/>
      <c r="K70" s="12"/>
      <c r="L70" s="12">
        <f>+J70-K70</f>
        <v>0</v>
      </c>
      <c r="M70" s="12"/>
      <c r="N70" s="12"/>
      <c r="O70" s="12"/>
      <c r="P70" s="12">
        <f>+N70-O70</f>
        <v>0</v>
      </c>
      <c r="Q70" s="13"/>
      <c r="R70" s="12">
        <f t="shared" si="20"/>
        <v>11592000</v>
      </c>
      <c r="S70" s="12">
        <f t="shared" si="20"/>
        <v>7868021.0499999998</v>
      </c>
      <c r="T70" s="14">
        <f>+R70-S70</f>
        <v>3723978.95</v>
      </c>
      <c r="U70" s="17">
        <f t="shared" si="5"/>
        <v>0.67874577726017937</v>
      </c>
    </row>
    <row r="71" spans="2:21" ht="30.75" customHeight="1">
      <c r="B71" s="18"/>
      <c r="C71" s="10"/>
      <c r="D71" s="10"/>
      <c r="E71" s="22" t="s">
        <v>68</v>
      </c>
      <c r="F71" s="12">
        <v>10527308</v>
      </c>
      <c r="G71" s="12">
        <v>6167591.7800000003</v>
      </c>
      <c r="H71" s="12">
        <f>+F71-G71</f>
        <v>4359716.22</v>
      </c>
      <c r="I71" s="13"/>
      <c r="J71" s="12"/>
      <c r="K71" s="12"/>
      <c r="L71" s="12">
        <f>+J71-K71</f>
        <v>0</v>
      </c>
      <c r="M71" s="12"/>
      <c r="N71" s="12"/>
      <c r="O71" s="12"/>
      <c r="P71" s="12">
        <f>+N71-O71</f>
        <v>0</v>
      </c>
      <c r="Q71" s="13"/>
      <c r="R71" s="12">
        <f t="shared" si="20"/>
        <v>10527308</v>
      </c>
      <c r="S71" s="12">
        <f t="shared" si="20"/>
        <v>6167591.7800000003</v>
      </c>
      <c r="T71" s="14">
        <f>+R71-S71</f>
        <v>4359716.22</v>
      </c>
      <c r="U71" s="17">
        <f t="shared" si="5"/>
        <v>0.58586599537127637</v>
      </c>
    </row>
    <row r="72" spans="2:21" ht="24.95" customHeight="1">
      <c r="B72" s="18"/>
      <c r="C72" s="10"/>
      <c r="D72" s="10"/>
      <c r="E72" s="41" t="s">
        <v>69</v>
      </c>
      <c r="F72" s="12">
        <v>4592000</v>
      </c>
      <c r="G72" s="12">
        <v>2301671.69</v>
      </c>
      <c r="H72" s="12">
        <f>+F72-G72</f>
        <v>2290328.31</v>
      </c>
      <c r="I72" s="13"/>
      <c r="J72" s="12"/>
      <c r="K72" s="12"/>
      <c r="L72" s="12">
        <f>+J72-K72</f>
        <v>0</v>
      </c>
      <c r="M72" s="12"/>
      <c r="N72" s="12">
        <v>18541000</v>
      </c>
      <c r="O72" s="12"/>
      <c r="P72" s="12">
        <f>+N72-O72</f>
        <v>18541000</v>
      </c>
      <c r="Q72" s="13"/>
      <c r="R72" s="12">
        <f t="shared" si="20"/>
        <v>23133000</v>
      </c>
      <c r="S72" s="12">
        <f t="shared" si="20"/>
        <v>2301671.69</v>
      </c>
      <c r="T72" s="14">
        <f>+R72-S72</f>
        <v>20831328.309999999</v>
      </c>
      <c r="U72" s="17">
        <f t="shared" si="5"/>
        <v>9.9497328059482124E-2</v>
      </c>
    </row>
    <row r="73" spans="2:21" ht="24.95" customHeight="1">
      <c r="B73" s="18"/>
      <c r="C73" s="10"/>
      <c r="D73" s="10"/>
      <c r="E73" s="41"/>
      <c r="F73" s="12"/>
      <c r="G73" s="12"/>
      <c r="H73" s="12"/>
      <c r="I73" s="13"/>
      <c r="J73" s="12"/>
      <c r="K73" s="12"/>
      <c r="L73" s="12"/>
      <c r="M73" s="12"/>
      <c r="N73" s="12"/>
      <c r="O73" s="12"/>
      <c r="P73" s="12"/>
      <c r="Q73" s="13"/>
      <c r="R73" s="12"/>
      <c r="S73" s="12"/>
      <c r="T73" s="14"/>
      <c r="U73" s="17"/>
    </row>
    <row r="74" spans="2:21" ht="24.95" customHeight="1">
      <c r="B74" s="18"/>
      <c r="C74" s="20" t="s">
        <v>70</v>
      </c>
      <c r="D74" s="20"/>
      <c r="E74" s="10"/>
      <c r="F74" s="12"/>
      <c r="G74" s="12"/>
      <c r="H74" s="12"/>
      <c r="I74" s="13"/>
      <c r="J74" s="12"/>
      <c r="K74" s="12"/>
      <c r="L74" s="12"/>
      <c r="M74" s="12"/>
      <c r="N74" s="12"/>
      <c r="O74" s="12"/>
      <c r="P74" s="12"/>
      <c r="Q74" s="13"/>
      <c r="R74" s="12"/>
      <c r="S74" s="12"/>
      <c r="T74" s="14"/>
      <c r="U74" s="17"/>
    </row>
    <row r="75" spans="2:21" ht="24.95" customHeight="1">
      <c r="B75" s="18"/>
      <c r="C75" s="20"/>
      <c r="D75" s="20"/>
      <c r="E75" s="10" t="s">
        <v>71</v>
      </c>
      <c r="F75" s="12">
        <v>36754560</v>
      </c>
      <c r="G75" s="12">
        <v>28771815.390000001</v>
      </c>
      <c r="H75" s="12">
        <f t="shared" ref="H75:H80" si="21">+F75-G75</f>
        <v>7982744.6099999994</v>
      </c>
      <c r="I75" s="13"/>
      <c r="J75" s="12"/>
      <c r="K75" s="12"/>
      <c r="L75" s="12">
        <f t="shared" ref="L75:L80" si="22">+J75-K75</f>
        <v>0</v>
      </c>
      <c r="M75" s="12"/>
      <c r="N75" s="12"/>
      <c r="O75" s="12"/>
      <c r="P75" s="12">
        <f t="shared" ref="P75:P80" si="23">+N75-O75</f>
        <v>0</v>
      </c>
      <c r="Q75" s="13"/>
      <c r="R75" s="12">
        <f t="shared" ref="R75:S80" si="24">+F75+J75+N75</f>
        <v>36754560</v>
      </c>
      <c r="S75" s="12">
        <f t="shared" si="24"/>
        <v>28771815.390000001</v>
      </c>
      <c r="T75" s="14">
        <f t="shared" ref="T75:T80" si="25">+R75-S75</f>
        <v>7982744.6099999994</v>
      </c>
      <c r="U75" s="17">
        <f t="shared" ref="U75:U137" si="26">+S75/R75</f>
        <v>0.78280940895497053</v>
      </c>
    </row>
    <row r="76" spans="2:21" ht="28.5" customHeight="1">
      <c r="B76" s="18"/>
      <c r="C76" s="10"/>
      <c r="D76" s="10"/>
      <c r="E76" s="21" t="s">
        <v>72</v>
      </c>
      <c r="F76" s="12">
        <v>20488000</v>
      </c>
      <c r="G76" s="12">
        <v>16301951.68</v>
      </c>
      <c r="H76" s="12">
        <f t="shared" si="21"/>
        <v>4186048.3200000003</v>
      </c>
      <c r="I76" s="13"/>
      <c r="J76" s="12"/>
      <c r="K76" s="12"/>
      <c r="L76" s="12">
        <f t="shared" si="22"/>
        <v>0</v>
      </c>
      <c r="M76" s="12"/>
      <c r="N76" s="12">
        <v>539779</v>
      </c>
      <c r="O76" s="12">
        <v>491221.76000000001</v>
      </c>
      <c r="P76" s="12">
        <f t="shared" si="23"/>
        <v>48557.239999999991</v>
      </c>
      <c r="Q76" s="13"/>
      <c r="R76" s="12">
        <f t="shared" si="24"/>
        <v>21027779</v>
      </c>
      <c r="S76" s="12">
        <f t="shared" si="24"/>
        <v>16793173.440000001</v>
      </c>
      <c r="T76" s="14">
        <f t="shared" si="25"/>
        <v>4234605.5599999987</v>
      </c>
      <c r="U76" s="17">
        <f t="shared" si="26"/>
        <v>0.79861850554925473</v>
      </c>
    </row>
    <row r="77" spans="2:21" ht="28.5" customHeight="1">
      <c r="B77" s="18"/>
      <c r="C77" s="10"/>
      <c r="D77" s="10"/>
      <c r="E77" s="21" t="s">
        <v>73</v>
      </c>
      <c r="F77" s="12">
        <v>1634000</v>
      </c>
      <c r="G77" s="12">
        <v>1313855.05</v>
      </c>
      <c r="H77" s="12">
        <f t="shared" si="21"/>
        <v>320144.94999999995</v>
      </c>
      <c r="I77" s="13"/>
      <c r="J77" s="12"/>
      <c r="K77" s="12"/>
      <c r="L77" s="12">
        <f t="shared" si="22"/>
        <v>0</v>
      </c>
      <c r="M77" s="12"/>
      <c r="N77" s="12"/>
      <c r="O77" s="12"/>
      <c r="P77" s="12">
        <f t="shared" si="23"/>
        <v>0</v>
      </c>
      <c r="Q77" s="13"/>
      <c r="R77" s="12">
        <f t="shared" si="24"/>
        <v>1634000</v>
      </c>
      <c r="S77" s="12">
        <f t="shared" si="24"/>
        <v>1313855.05</v>
      </c>
      <c r="T77" s="14">
        <f t="shared" si="25"/>
        <v>320144.94999999995</v>
      </c>
      <c r="U77" s="17">
        <f t="shared" si="26"/>
        <v>0.80407285801713591</v>
      </c>
    </row>
    <row r="78" spans="2:21" ht="28.5" customHeight="1">
      <c r="B78" s="18"/>
      <c r="C78" s="10"/>
      <c r="D78" s="10"/>
      <c r="E78" s="21" t="s">
        <v>74</v>
      </c>
      <c r="F78" s="12">
        <v>15988000</v>
      </c>
      <c r="G78" s="12">
        <v>13637408.210000001</v>
      </c>
      <c r="H78" s="12">
        <f t="shared" si="21"/>
        <v>2350591.7899999991</v>
      </c>
      <c r="I78" s="13"/>
      <c r="J78" s="12"/>
      <c r="K78" s="12"/>
      <c r="L78" s="12">
        <f t="shared" si="22"/>
        <v>0</v>
      </c>
      <c r="M78" s="12"/>
      <c r="N78" s="12"/>
      <c r="O78" s="12"/>
      <c r="P78" s="12">
        <f t="shared" si="23"/>
        <v>0</v>
      </c>
      <c r="Q78" s="13"/>
      <c r="R78" s="12">
        <f t="shared" si="24"/>
        <v>15988000</v>
      </c>
      <c r="S78" s="12">
        <f t="shared" si="24"/>
        <v>13637408.210000001</v>
      </c>
      <c r="T78" s="14">
        <f t="shared" si="25"/>
        <v>2350591.7899999991</v>
      </c>
      <c r="U78" s="17">
        <f t="shared" si="26"/>
        <v>0.85297774643482616</v>
      </c>
    </row>
    <row r="79" spans="2:21" ht="24.95" customHeight="1">
      <c r="B79" s="18"/>
      <c r="C79" s="10"/>
      <c r="D79" s="10"/>
      <c r="E79" s="28" t="s">
        <v>75</v>
      </c>
      <c r="F79" s="12">
        <v>7527000</v>
      </c>
      <c r="G79" s="12">
        <v>4779159.38</v>
      </c>
      <c r="H79" s="12">
        <f t="shared" si="21"/>
        <v>2747840.62</v>
      </c>
      <c r="I79" s="13"/>
      <c r="J79" s="12"/>
      <c r="K79" s="12"/>
      <c r="L79" s="12">
        <f t="shared" si="22"/>
        <v>0</v>
      </c>
      <c r="M79" s="12"/>
      <c r="N79" s="12"/>
      <c r="O79" s="12"/>
      <c r="P79" s="12">
        <f t="shared" si="23"/>
        <v>0</v>
      </c>
      <c r="Q79" s="13"/>
      <c r="R79" s="12">
        <f t="shared" si="24"/>
        <v>7527000</v>
      </c>
      <c r="S79" s="12">
        <f t="shared" si="24"/>
        <v>4779159.38</v>
      </c>
      <c r="T79" s="14">
        <f t="shared" si="25"/>
        <v>2747840.62</v>
      </c>
      <c r="U79" s="17">
        <f t="shared" si="26"/>
        <v>0.63493548292812541</v>
      </c>
    </row>
    <row r="80" spans="2:21" ht="24.95" customHeight="1">
      <c r="B80" s="18"/>
      <c r="C80" s="10"/>
      <c r="D80" s="10"/>
      <c r="E80" s="22" t="s">
        <v>76</v>
      </c>
      <c r="F80" s="12">
        <v>7826000</v>
      </c>
      <c r="G80" s="12">
        <v>6578696.8700000001</v>
      </c>
      <c r="H80" s="12">
        <f t="shared" si="21"/>
        <v>1247303.1299999999</v>
      </c>
      <c r="I80" s="13"/>
      <c r="J80" s="12"/>
      <c r="K80" s="12"/>
      <c r="L80" s="12">
        <f t="shared" si="22"/>
        <v>0</v>
      </c>
      <c r="M80" s="12"/>
      <c r="N80" s="12">
        <v>598283.11</v>
      </c>
      <c r="O80" s="12">
        <v>598281.61</v>
      </c>
      <c r="P80" s="12">
        <f t="shared" si="23"/>
        <v>1.5</v>
      </c>
      <c r="Q80" s="13"/>
      <c r="R80" s="12">
        <f t="shared" si="24"/>
        <v>8424283.1099999994</v>
      </c>
      <c r="S80" s="12">
        <f t="shared" si="24"/>
        <v>7176978.4800000004</v>
      </c>
      <c r="T80" s="14">
        <f t="shared" si="25"/>
        <v>1247304.629999999</v>
      </c>
      <c r="U80" s="17">
        <f t="shared" si="26"/>
        <v>0.85193937410301501</v>
      </c>
    </row>
    <row r="81" spans="2:21" ht="27.75" customHeight="1">
      <c r="B81" s="18"/>
      <c r="C81" s="10"/>
      <c r="D81" s="10"/>
      <c r="E81" s="31" t="s">
        <v>51</v>
      </c>
      <c r="F81" s="32">
        <f>SUM(F55:F80)</f>
        <v>329835222</v>
      </c>
      <c r="G81" s="32">
        <f t="shared" ref="G81:S81" si="27">SUM(G55:G80)</f>
        <v>240088017.36000004</v>
      </c>
      <c r="H81" s="32">
        <f t="shared" si="27"/>
        <v>89747204.640000015</v>
      </c>
      <c r="I81" s="32">
        <f t="shared" si="27"/>
        <v>0</v>
      </c>
      <c r="J81" s="32">
        <f>SUM(J55:J80)</f>
        <v>9422892</v>
      </c>
      <c r="K81" s="32">
        <f>SUM(K55:K80)</f>
        <v>9422892</v>
      </c>
      <c r="L81" s="32">
        <f>SUM(L55:L80)</f>
        <v>0</v>
      </c>
      <c r="M81" s="32">
        <f t="shared" si="27"/>
        <v>0</v>
      </c>
      <c r="N81" s="32">
        <f>SUM(N55:N80)</f>
        <v>25798028.109999999</v>
      </c>
      <c r="O81" s="32">
        <f>SUM(O55:O80)</f>
        <v>9545743.2899999991</v>
      </c>
      <c r="P81" s="32">
        <f>SUM(P55:P80)</f>
        <v>16252284.82</v>
      </c>
      <c r="Q81" s="32">
        <f t="shared" si="27"/>
        <v>0</v>
      </c>
      <c r="R81" s="32">
        <f t="shared" si="27"/>
        <v>365056142.11000001</v>
      </c>
      <c r="S81" s="32">
        <f t="shared" si="27"/>
        <v>259056652.65000004</v>
      </c>
      <c r="T81" s="34">
        <f>SUM(T55:T80)</f>
        <v>105999489.46000001</v>
      </c>
      <c r="U81" s="17">
        <f t="shared" si="26"/>
        <v>0.70963510202203406</v>
      </c>
    </row>
    <row r="82" spans="2:21" ht="24.95" customHeight="1">
      <c r="B82" s="18"/>
      <c r="C82" s="10"/>
      <c r="D82" s="10"/>
      <c r="E82" s="22"/>
      <c r="F82" s="12"/>
      <c r="G82" s="12"/>
      <c r="H82" s="12"/>
      <c r="I82" s="13"/>
      <c r="J82" s="12"/>
      <c r="K82" s="12"/>
      <c r="L82" s="12"/>
      <c r="M82" s="12"/>
      <c r="N82" s="12"/>
      <c r="O82" s="12"/>
      <c r="P82" s="12"/>
      <c r="Q82" s="13"/>
      <c r="R82" s="12"/>
      <c r="S82" s="12"/>
      <c r="T82" s="14"/>
      <c r="U82" s="17"/>
    </row>
    <row r="83" spans="2:21" ht="24.95" customHeight="1">
      <c r="B83" s="18"/>
      <c r="C83" s="24" t="s">
        <v>77</v>
      </c>
      <c r="D83" s="10"/>
      <c r="E83" s="22"/>
      <c r="F83" s="12">
        <f>SUM(F85:F103)</f>
        <v>310472680</v>
      </c>
      <c r="G83" s="12">
        <f t="shared" ref="G83:T83" si="28">SUM(G85:G103)</f>
        <v>174876645.25</v>
      </c>
      <c r="H83" s="12">
        <f t="shared" si="28"/>
        <v>135596034.75000003</v>
      </c>
      <c r="I83" s="12">
        <f t="shared" si="28"/>
        <v>0</v>
      </c>
      <c r="J83" s="12">
        <f>SUM(J85:J103)</f>
        <v>35483000</v>
      </c>
      <c r="K83" s="12">
        <f>SUM(K85:K103)</f>
        <v>35483000</v>
      </c>
      <c r="L83" s="12">
        <f>SUM(L85:L103)</f>
        <v>0</v>
      </c>
      <c r="M83" s="12">
        <f t="shared" si="28"/>
        <v>0</v>
      </c>
      <c r="N83" s="12">
        <f>SUM(N85:N103)</f>
        <v>15784071.789999999</v>
      </c>
      <c r="O83" s="12">
        <f>SUM(O85:O103)</f>
        <v>34334288.649999999</v>
      </c>
      <c r="P83" s="12">
        <f>SUM(P85:P103)</f>
        <v>-18550216.859999999</v>
      </c>
      <c r="Q83" s="12">
        <f t="shared" si="28"/>
        <v>0</v>
      </c>
      <c r="R83" s="12">
        <f t="shared" si="28"/>
        <v>361739751.79000002</v>
      </c>
      <c r="S83" s="12">
        <f t="shared" si="28"/>
        <v>244693933.89999998</v>
      </c>
      <c r="T83" s="14">
        <f t="shared" si="28"/>
        <v>117045817.89000003</v>
      </c>
      <c r="U83" s="17">
        <f>+S83/R83</f>
        <v>0.67643639574909531</v>
      </c>
    </row>
    <row r="84" spans="2:21" ht="24.95" customHeight="1">
      <c r="B84" s="18"/>
      <c r="C84" s="20" t="s">
        <v>78</v>
      </c>
      <c r="D84" s="20"/>
      <c r="E84" s="10"/>
      <c r="F84" s="12"/>
      <c r="G84" s="12"/>
      <c r="H84" s="12">
        <f t="shared" ref="H84:H89" si="29">+F84-G84</f>
        <v>0</v>
      </c>
      <c r="I84" s="13"/>
      <c r="J84" s="12"/>
      <c r="K84" s="12"/>
      <c r="L84" s="12">
        <f t="shared" ref="L84:L89" si="30">+J84-K84</f>
        <v>0</v>
      </c>
      <c r="M84" s="12"/>
      <c r="N84" s="12"/>
      <c r="O84" s="12"/>
      <c r="P84" s="12">
        <f t="shared" ref="P84:P89" si="31">+N84-O84</f>
        <v>0</v>
      </c>
      <c r="Q84" s="13"/>
      <c r="R84" s="12"/>
      <c r="S84" s="12"/>
      <c r="T84" s="14"/>
      <c r="U84" s="17"/>
    </row>
    <row r="85" spans="2:21" ht="24.95" customHeight="1">
      <c r="B85" s="18"/>
      <c r="C85" s="20"/>
      <c r="D85" s="20"/>
      <c r="E85" s="10" t="s">
        <v>79</v>
      </c>
      <c r="F85" s="42">
        <v>55690000</v>
      </c>
      <c r="G85" s="12">
        <v>15995978.220000001</v>
      </c>
      <c r="H85" s="12">
        <f t="shared" si="29"/>
        <v>39694021.780000001</v>
      </c>
      <c r="I85" s="13"/>
      <c r="J85" s="42"/>
      <c r="K85" s="12"/>
      <c r="L85" s="12">
        <f t="shared" si="30"/>
        <v>0</v>
      </c>
      <c r="M85" s="12"/>
      <c r="N85" s="42"/>
      <c r="O85" s="12">
        <v>21840864</v>
      </c>
      <c r="P85" s="12">
        <f t="shared" si="31"/>
        <v>-21840864</v>
      </c>
      <c r="Q85" s="13"/>
      <c r="R85" s="12">
        <f t="shared" ref="R85:S89" si="32">+F85+J85+N85</f>
        <v>55690000</v>
      </c>
      <c r="S85" s="12">
        <f t="shared" si="32"/>
        <v>37836842.219999999</v>
      </c>
      <c r="T85" s="14">
        <f>+R85-S85</f>
        <v>17853157.780000001</v>
      </c>
      <c r="U85" s="17">
        <f t="shared" si="26"/>
        <v>0.67941896606212959</v>
      </c>
    </row>
    <row r="86" spans="2:21" ht="27" customHeight="1">
      <c r="B86" s="18"/>
      <c r="C86" s="10"/>
      <c r="D86" s="10"/>
      <c r="E86" s="22" t="s">
        <v>80</v>
      </c>
      <c r="F86" s="12">
        <v>68459000</v>
      </c>
      <c r="G86" s="12">
        <v>30343981.420000002</v>
      </c>
      <c r="H86" s="12">
        <f t="shared" si="29"/>
        <v>38115018.579999998</v>
      </c>
      <c r="I86" s="13"/>
      <c r="J86" s="12"/>
      <c r="K86" s="12"/>
      <c r="L86" s="12">
        <f t="shared" si="30"/>
        <v>0</v>
      </c>
      <c r="M86" s="12"/>
      <c r="N86" s="12">
        <v>5946415.9299999997</v>
      </c>
      <c r="O86" s="12">
        <v>5946415.9299999997</v>
      </c>
      <c r="P86" s="12">
        <f t="shared" si="31"/>
        <v>0</v>
      </c>
      <c r="Q86" s="13"/>
      <c r="R86" s="12">
        <f t="shared" si="32"/>
        <v>74405415.930000007</v>
      </c>
      <c r="S86" s="12">
        <f t="shared" si="32"/>
        <v>36290397.350000001</v>
      </c>
      <c r="T86" s="14">
        <f>+R86-S86</f>
        <v>38115018.580000006</v>
      </c>
      <c r="U86" s="17">
        <f t="shared" si="26"/>
        <v>0.48773865311285541</v>
      </c>
    </row>
    <row r="87" spans="2:21" ht="27" customHeight="1">
      <c r="B87" s="18"/>
      <c r="C87" s="10"/>
      <c r="D87" s="10"/>
      <c r="E87" s="22" t="s">
        <v>81</v>
      </c>
      <c r="F87" s="12">
        <v>47087000</v>
      </c>
      <c r="G87" s="12">
        <v>20451753.949999999</v>
      </c>
      <c r="H87" s="12">
        <f t="shared" si="29"/>
        <v>26635246.050000001</v>
      </c>
      <c r="I87" s="13"/>
      <c r="J87" s="12"/>
      <c r="K87" s="12"/>
      <c r="L87" s="12">
        <f t="shared" si="30"/>
        <v>0</v>
      </c>
      <c r="M87" s="12"/>
      <c r="N87" s="12">
        <v>475621.86</v>
      </c>
      <c r="O87" s="12">
        <v>475621.86</v>
      </c>
      <c r="P87" s="12">
        <f t="shared" si="31"/>
        <v>0</v>
      </c>
      <c r="Q87" s="13"/>
      <c r="R87" s="12">
        <f t="shared" si="32"/>
        <v>47562621.859999999</v>
      </c>
      <c r="S87" s="12">
        <f t="shared" si="32"/>
        <v>20927375.809999999</v>
      </c>
      <c r="T87" s="14">
        <f>+R87-S87</f>
        <v>26635246.050000001</v>
      </c>
      <c r="U87" s="17">
        <f t="shared" si="26"/>
        <v>0.43999626159380945</v>
      </c>
    </row>
    <row r="88" spans="2:21" ht="27" customHeight="1">
      <c r="B88" s="18"/>
      <c r="C88" s="10"/>
      <c r="D88" s="10"/>
      <c r="E88" s="22" t="s">
        <v>82</v>
      </c>
      <c r="F88" s="12">
        <v>5612000</v>
      </c>
      <c r="G88" s="12">
        <v>3048509</v>
      </c>
      <c r="H88" s="12">
        <f t="shared" si="29"/>
        <v>2563491</v>
      </c>
      <c r="I88" s="13"/>
      <c r="J88" s="12"/>
      <c r="K88" s="12"/>
      <c r="L88" s="12">
        <f t="shared" si="30"/>
        <v>0</v>
      </c>
      <c r="M88" s="12"/>
      <c r="N88" s="12"/>
      <c r="O88" s="12"/>
      <c r="P88" s="12">
        <f t="shared" si="31"/>
        <v>0</v>
      </c>
      <c r="Q88" s="13"/>
      <c r="R88" s="12">
        <f t="shared" si="32"/>
        <v>5612000</v>
      </c>
      <c r="S88" s="12">
        <f t="shared" si="32"/>
        <v>3048509</v>
      </c>
      <c r="T88" s="14">
        <f>+R88-S88</f>
        <v>2563491</v>
      </c>
      <c r="U88" s="17">
        <f t="shared" si="26"/>
        <v>0.54321258018531715</v>
      </c>
    </row>
    <row r="89" spans="2:21" ht="27" customHeight="1">
      <c r="B89" s="18"/>
      <c r="C89" s="10"/>
      <c r="D89" s="10"/>
      <c r="E89" s="22" t="s">
        <v>83</v>
      </c>
      <c r="F89" s="12">
        <v>2614000</v>
      </c>
      <c r="G89" s="12">
        <v>1223669.1100000001</v>
      </c>
      <c r="H89" s="12">
        <f t="shared" si="29"/>
        <v>1390330.89</v>
      </c>
      <c r="I89" s="13"/>
      <c r="J89" s="12"/>
      <c r="K89" s="12"/>
      <c r="L89" s="12">
        <f t="shared" si="30"/>
        <v>0</v>
      </c>
      <c r="M89" s="12"/>
      <c r="N89" s="12"/>
      <c r="O89" s="12"/>
      <c r="P89" s="12">
        <f t="shared" si="31"/>
        <v>0</v>
      </c>
      <c r="Q89" s="13"/>
      <c r="R89" s="12">
        <f t="shared" si="32"/>
        <v>2614000</v>
      </c>
      <c r="S89" s="12">
        <f t="shared" si="32"/>
        <v>1223669.1100000001</v>
      </c>
      <c r="T89" s="14">
        <f>+R89-S89</f>
        <v>1390330.89</v>
      </c>
      <c r="U89" s="17">
        <f t="shared" si="26"/>
        <v>0.46812131216526398</v>
      </c>
    </row>
    <row r="90" spans="2:21" ht="24.95" customHeight="1">
      <c r="B90" s="18"/>
      <c r="C90" s="10"/>
      <c r="D90" s="10"/>
      <c r="E90" s="22"/>
      <c r="F90" s="12"/>
      <c r="G90" s="12"/>
      <c r="H90" s="12"/>
      <c r="I90" s="13"/>
      <c r="J90" s="12"/>
      <c r="K90" s="12"/>
      <c r="L90" s="12"/>
      <c r="M90" s="12"/>
      <c r="N90" s="12"/>
      <c r="O90" s="12"/>
      <c r="P90" s="12"/>
      <c r="Q90" s="13"/>
      <c r="R90" s="12"/>
      <c r="S90" s="12"/>
      <c r="T90" s="14"/>
      <c r="U90" s="17"/>
    </row>
    <row r="91" spans="2:21" ht="24.95" customHeight="1">
      <c r="B91" s="18"/>
      <c r="C91" s="20" t="s">
        <v>84</v>
      </c>
      <c r="D91" s="20"/>
      <c r="E91" s="10"/>
      <c r="F91" s="12"/>
      <c r="G91" s="12"/>
      <c r="H91" s="12"/>
      <c r="I91" s="13"/>
      <c r="J91" s="12"/>
      <c r="K91" s="12"/>
      <c r="L91" s="12"/>
      <c r="M91" s="12"/>
      <c r="N91" s="12"/>
      <c r="O91" s="12"/>
      <c r="P91" s="12"/>
      <c r="Q91" s="13"/>
      <c r="R91" s="12"/>
      <c r="S91" s="12"/>
      <c r="T91" s="14"/>
      <c r="U91" s="17"/>
    </row>
    <row r="92" spans="2:21" ht="24.95" customHeight="1">
      <c r="B92" s="18"/>
      <c r="C92" s="20"/>
      <c r="D92" s="20"/>
      <c r="E92" s="10" t="s">
        <v>85</v>
      </c>
      <c r="F92" s="12">
        <v>19671000</v>
      </c>
      <c r="G92" s="12">
        <v>18591684.550000001</v>
      </c>
      <c r="H92" s="12">
        <f t="shared" ref="H92:H98" si="33">+F92-G92</f>
        <v>1079315.4499999993</v>
      </c>
      <c r="I92" s="13"/>
      <c r="J92" s="12">
        <v>18500000</v>
      </c>
      <c r="K92" s="12">
        <v>18500000</v>
      </c>
      <c r="L92" s="12">
        <f t="shared" ref="L92:L98" si="34">+J92-K92</f>
        <v>0</v>
      </c>
      <c r="M92" s="12"/>
      <c r="N92" s="12">
        <v>9362034</v>
      </c>
      <c r="O92" s="12">
        <v>6071386.8600000003</v>
      </c>
      <c r="P92" s="12">
        <f t="shared" ref="P92:P98" si="35">+N92-O92</f>
        <v>3290647.1399999997</v>
      </c>
      <c r="Q92" s="13"/>
      <c r="R92" s="12">
        <f t="shared" ref="R92:S97" si="36">+F92+J92+N92</f>
        <v>47533034</v>
      </c>
      <c r="S92" s="12">
        <f t="shared" si="36"/>
        <v>43163071.409999996</v>
      </c>
      <c r="T92" s="14">
        <f t="shared" ref="T92:T98" si="37">+R92-S92</f>
        <v>4369962.5900000036</v>
      </c>
      <c r="U92" s="17">
        <f t="shared" si="26"/>
        <v>0.90806472420843143</v>
      </c>
    </row>
    <row r="93" spans="2:21" ht="28.5" customHeight="1">
      <c r="B93" s="18"/>
      <c r="C93" s="10"/>
      <c r="D93" s="10"/>
      <c r="E93" s="22" t="s">
        <v>86</v>
      </c>
      <c r="F93" s="12">
        <v>35674680</v>
      </c>
      <c r="G93" s="12">
        <v>35674388.880000003</v>
      </c>
      <c r="H93" s="12">
        <f t="shared" si="33"/>
        <v>291.11999999731779</v>
      </c>
      <c r="I93" s="13"/>
      <c r="J93" s="12"/>
      <c r="K93" s="12"/>
      <c r="L93" s="12">
        <f t="shared" si="34"/>
        <v>0</v>
      </c>
      <c r="M93" s="12"/>
      <c r="N93" s="12"/>
      <c r="O93" s="12"/>
      <c r="P93" s="12">
        <f t="shared" si="35"/>
        <v>0</v>
      </c>
      <c r="Q93" s="13"/>
      <c r="R93" s="12">
        <f t="shared" si="36"/>
        <v>35674680</v>
      </c>
      <c r="S93" s="12">
        <f t="shared" si="36"/>
        <v>35674388.880000003</v>
      </c>
      <c r="T93" s="14">
        <f t="shared" si="37"/>
        <v>291.11999999731779</v>
      </c>
      <c r="U93" s="17">
        <f t="shared" si="26"/>
        <v>0.99999183959043225</v>
      </c>
    </row>
    <row r="94" spans="2:21" ht="28.5" customHeight="1">
      <c r="B94" s="18"/>
      <c r="C94" s="10"/>
      <c r="D94" s="10"/>
      <c r="E94" s="22" t="s">
        <v>87</v>
      </c>
      <c r="F94" s="12">
        <v>15576000</v>
      </c>
      <c r="G94" s="12">
        <v>12446584.41</v>
      </c>
      <c r="H94" s="12">
        <f t="shared" si="33"/>
        <v>3129415.59</v>
      </c>
      <c r="I94" s="13"/>
      <c r="J94" s="12"/>
      <c r="K94" s="12"/>
      <c r="L94" s="12">
        <f t="shared" si="34"/>
        <v>0</v>
      </c>
      <c r="M94" s="12"/>
      <c r="N94" s="12"/>
      <c r="O94" s="12"/>
      <c r="P94" s="12">
        <f t="shared" si="35"/>
        <v>0</v>
      </c>
      <c r="Q94" s="13"/>
      <c r="R94" s="12">
        <f t="shared" si="36"/>
        <v>15576000</v>
      </c>
      <c r="S94" s="12">
        <f t="shared" si="36"/>
        <v>12446584.41</v>
      </c>
      <c r="T94" s="14">
        <f t="shared" si="37"/>
        <v>3129415.59</v>
      </c>
      <c r="U94" s="17">
        <f t="shared" si="26"/>
        <v>0.79908734013867488</v>
      </c>
    </row>
    <row r="95" spans="2:21" ht="28.5" customHeight="1">
      <c r="B95" s="18"/>
      <c r="C95" s="10"/>
      <c r="D95" s="10"/>
      <c r="E95" s="22" t="s">
        <v>88</v>
      </c>
      <c r="F95" s="12">
        <v>2740000</v>
      </c>
      <c r="G95" s="12">
        <v>2740000</v>
      </c>
      <c r="H95" s="12">
        <f t="shared" si="33"/>
        <v>0</v>
      </c>
      <c r="I95" s="13"/>
      <c r="J95" s="12"/>
      <c r="K95" s="12"/>
      <c r="L95" s="12">
        <f t="shared" si="34"/>
        <v>0</v>
      </c>
      <c r="M95" s="12"/>
      <c r="N95" s="12"/>
      <c r="O95" s="12"/>
      <c r="P95" s="12">
        <f t="shared" si="35"/>
        <v>0</v>
      </c>
      <c r="Q95" s="13"/>
      <c r="R95" s="12">
        <f t="shared" si="36"/>
        <v>2740000</v>
      </c>
      <c r="S95" s="12">
        <f t="shared" si="36"/>
        <v>2740000</v>
      </c>
      <c r="T95" s="14">
        <f t="shared" si="37"/>
        <v>0</v>
      </c>
      <c r="U95" s="17">
        <f t="shared" si="26"/>
        <v>1</v>
      </c>
    </row>
    <row r="96" spans="2:21" ht="24.95" customHeight="1">
      <c r="B96" s="18"/>
      <c r="C96" s="10"/>
      <c r="D96" s="10"/>
      <c r="E96" s="22" t="s">
        <v>89</v>
      </c>
      <c r="F96" s="12">
        <v>3234000</v>
      </c>
      <c r="G96" s="12">
        <f>8852226.64-6983000</f>
        <v>1869226.6400000006</v>
      </c>
      <c r="H96" s="12">
        <f t="shared" si="33"/>
        <v>1364773.3599999994</v>
      </c>
      <c r="I96" s="13"/>
      <c r="J96" s="12">
        <v>6983000</v>
      </c>
      <c r="K96" s="12">
        <v>6983000</v>
      </c>
      <c r="L96" s="12">
        <f t="shared" si="34"/>
        <v>0</v>
      </c>
      <c r="M96" s="12"/>
      <c r="N96" s="12"/>
      <c r="O96" s="12"/>
      <c r="P96" s="12">
        <f t="shared" si="35"/>
        <v>0</v>
      </c>
      <c r="Q96" s="13"/>
      <c r="R96" s="12">
        <f t="shared" si="36"/>
        <v>10217000</v>
      </c>
      <c r="S96" s="12">
        <f t="shared" si="36"/>
        <v>8852226.6400000006</v>
      </c>
      <c r="T96" s="14">
        <f t="shared" si="37"/>
        <v>1364773.3599999994</v>
      </c>
      <c r="U96" s="17">
        <f t="shared" si="26"/>
        <v>0.86642132132719984</v>
      </c>
    </row>
    <row r="97" spans="2:25" ht="24.95" customHeight="1">
      <c r="B97" s="18"/>
      <c r="C97" s="10"/>
      <c r="D97" s="10"/>
      <c r="E97" s="28" t="s">
        <v>90</v>
      </c>
      <c r="F97" s="12">
        <v>6413000</v>
      </c>
      <c r="G97" s="12">
        <v>1830096.85</v>
      </c>
      <c r="H97" s="12">
        <f t="shared" si="33"/>
        <v>4582903.1500000004</v>
      </c>
      <c r="I97" s="13"/>
      <c r="J97" s="12"/>
      <c r="K97" s="12"/>
      <c r="L97" s="12">
        <f t="shared" si="34"/>
        <v>0</v>
      </c>
      <c r="M97" s="12"/>
      <c r="N97" s="12"/>
      <c r="O97" s="12"/>
      <c r="P97" s="12">
        <f t="shared" si="35"/>
        <v>0</v>
      </c>
      <c r="Q97" s="13"/>
      <c r="R97" s="12">
        <f t="shared" si="36"/>
        <v>6413000</v>
      </c>
      <c r="S97" s="12">
        <f t="shared" si="36"/>
        <v>1830096.85</v>
      </c>
      <c r="T97" s="14">
        <f t="shared" si="37"/>
        <v>4582903.1500000004</v>
      </c>
      <c r="U97" s="17">
        <f t="shared" si="26"/>
        <v>0.28537296896928116</v>
      </c>
    </row>
    <row r="98" spans="2:25" ht="28.5" customHeight="1">
      <c r="B98" s="18"/>
      <c r="C98" s="10"/>
      <c r="D98" s="10"/>
      <c r="E98" s="43" t="s">
        <v>91</v>
      </c>
      <c r="F98" s="12">
        <v>2416000</v>
      </c>
      <c r="G98" s="12">
        <v>1908413.66</v>
      </c>
      <c r="H98" s="12">
        <f t="shared" si="33"/>
        <v>507586.34000000008</v>
      </c>
      <c r="I98" s="13"/>
      <c r="J98" s="12"/>
      <c r="K98" s="12"/>
      <c r="L98" s="12">
        <f t="shared" si="34"/>
        <v>0</v>
      </c>
      <c r="M98" s="12"/>
      <c r="N98" s="12"/>
      <c r="O98" s="12"/>
      <c r="P98" s="12">
        <f t="shared" si="35"/>
        <v>0</v>
      </c>
      <c r="Q98" s="13"/>
      <c r="R98" s="12">
        <f>+F98+J98+N98</f>
        <v>2416000</v>
      </c>
      <c r="S98" s="12">
        <f>+G98+K98+O98</f>
        <v>1908413.66</v>
      </c>
      <c r="T98" s="14">
        <f t="shared" si="37"/>
        <v>507586.34000000008</v>
      </c>
      <c r="U98" s="17">
        <f t="shared" si="26"/>
        <v>0.78990631622516549</v>
      </c>
    </row>
    <row r="99" spans="2:25" ht="24.95" customHeight="1">
      <c r="B99" s="18"/>
      <c r="C99" s="10"/>
      <c r="D99" s="10"/>
      <c r="E99" s="43"/>
      <c r="F99" s="12"/>
      <c r="G99" s="12"/>
      <c r="H99" s="12"/>
      <c r="I99" s="13"/>
      <c r="J99" s="12"/>
      <c r="K99" s="12"/>
      <c r="L99" s="12"/>
      <c r="M99" s="12"/>
      <c r="N99" s="12"/>
      <c r="O99" s="12"/>
      <c r="P99" s="12"/>
      <c r="Q99" s="13"/>
      <c r="R99" s="12"/>
      <c r="S99" s="12"/>
      <c r="T99" s="14"/>
      <c r="U99" s="17"/>
    </row>
    <row r="100" spans="2:25" ht="24.95" customHeight="1">
      <c r="B100" s="18"/>
      <c r="C100" s="20" t="s">
        <v>92</v>
      </c>
      <c r="D100" s="20"/>
      <c r="E100" s="10"/>
      <c r="F100" s="12"/>
      <c r="G100" s="12"/>
      <c r="H100" s="12"/>
      <c r="I100" s="13"/>
      <c r="J100" s="12"/>
      <c r="K100" s="12"/>
      <c r="L100" s="12"/>
      <c r="M100" s="12"/>
      <c r="N100" s="12"/>
      <c r="O100" s="12"/>
      <c r="P100" s="12"/>
      <c r="Q100" s="13"/>
      <c r="R100" s="12"/>
      <c r="S100" s="12"/>
      <c r="T100" s="14"/>
      <c r="U100" s="17"/>
    </row>
    <row r="101" spans="2:25" ht="24.95" customHeight="1">
      <c r="B101" s="18"/>
      <c r="C101" s="20"/>
      <c r="D101" s="20"/>
      <c r="E101" s="10" t="s">
        <v>93</v>
      </c>
      <c r="F101" s="12">
        <v>13280000</v>
      </c>
      <c r="G101" s="12">
        <v>12898058.210000001</v>
      </c>
      <c r="H101" s="12">
        <f>+F101-G101</f>
        <v>381941.78999999911</v>
      </c>
      <c r="I101" s="13"/>
      <c r="J101" s="12">
        <v>10000000</v>
      </c>
      <c r="K101" s="12">
        <v>10000000</v>
      </c>
      <c r="L101" s="12">
        <f>+J101-K101</f>
        <v>0</v>
      </c>
      <c r="M101" s="12"/>
      <c r="N101" s="12"/>
      <c r="O101" s="12"/>
      <c r="P101" s="12">
        <f>+N101-O101</f>
        <v>0</v>
      </c>
      <c r="Q101" s="13"/>
      <c r="R101" s="12">
        <f t="shared" ref="R101:S103" si="38">+F101+J101+N101</f>
        <v>23280000</v>
      </c>
      <c r="S101" s="12">
        <f t="shared" si="38"/>
        <v>22898058.210000001</v>
      </c>
      <c r="T101" s="14">
        <f>+R101-S101</f>
        <v>381941.78999999911</v>
      </c>
      <c r="U101" s="17">
        <f t="shared" si="26"/>
        <v>0.98359356572164958</v>
      </c>
    </row>
    <row r="102" spans="2:25" ht="29.25" customHeight="1">
      <c r="B102" s="18"/>
      <c r="C102" s="10"/>
      <c r="D102" s="10"/>
      <c r="E102" s="22" t="s">
        <v>94</v>
      </c>
      <c r="F102" s="12">
        <v>30189000</v>
      </c>
      <c r="G102" s="12">
        <v>14253357.060000001</v>
      </c>
      <c r="H102" s="12">
        <f>+F102-G102</f>
        <v>15935642.939999999</v>
      </c>
      <c r="I102" s="13"/>
      <c r="J102" s="12"/>
      <c r="K102" s="12"/>
      <c r="L102" s="12">
        <f>+J102-K102</f>
        <v>0</v>
      </c>
      <c r="M102" s="12"/>
      <c r="N102" s="12"/>
      <c r="O102" s="12"/>
      <c r="P102" s="12">
        <f>+N102-O102</f>
        <v>0</v>
      </c>
      <c r="Q102" s="13"/>
      <c r="R102" s="12">
        <f t="shared" si="38"/>
        <v>30189000</v>
      </c>
      <c r="S102" s="12">
        <f t="shared" si="38"/>
        <v>14253357.060000001</v>
      </c>
      <c r="T102" s="14">
        <f>+R102-S102</f>
        <v>15935642.939999999</v>
      </c>
      <c r="U102" s="17">
        <f t="shared" si="26"/>
        <v>0.47213743615224091</v>
      </c>
    </row>
    <row r="103" spans="2:25" ht="29.25" customHeight="1">
      <c r="B103" s="18"/>
      <c r="C103" s="10"/>
      <c r="D103" s="10"/>
      <c r="E103" s="22" t="s">
        <v>95</v>
      </c>
      <c r="F103" s="12">
        <v>1817000</v>
      </c>
      <c r="G103" s="12">
        <v>1600943.29</v>
      </c>
      <c r="H103" s="12">
        <f>+F103-G103</f>
        <v>216056.70999999996</v>
      </c>
      <c r="I103" s="13"/>
      <c r="J103" s="12"/>
      <c r="K103" s="12"/>
      <c r="L103" s="12">
        <f>+J103-K103</f>
        <v>0</v>
      </c>
      <c r="M103" s="12"/>
      <c r="N103" s="12"/>
      <c r="O103" s="12"/>
      <c r="P103" s="12">
        <f>+N103-O103</f>
        <v>0</v>
      </c>
      <c r="Q103" s="13"/>
      <c r="R103" s="12">
        <f t="shared" si="38"/>
        <v>1817000</v>
      </c>
      <c r="S103" s="12">
        <f t="shared" si="38"/>
        <v>1600943.29</v>
      </c>
      <c r="T103" s="14">
        <f>+R103-S103</f>
        <v>216056.70999999996</v>
      </c>
      <c r="U103" s="17">
        <f t="shared" si="26"/>
        <v>0.88109151898734184</v>
      </c>
    </row>
    <row r="104" spans="2:25" ht="27.75" customHeight="1">
      <c r="B104" s="18"/>
      <c r="C104" s="10"/>
      <c r="D104" s="10"/>
      <c r="E104" s="31" t="s">
        <v>51</v>
      </c>
      <c r="F104" s="32">
        <f>SUM(F85:F103)</f>
        <v>310472680</v>
      </c>
      <c r="G104" s="32">
        <f t="shared" ref="G104:S104" si="39">SUM(G85:G103)</f>
        <v>174876645.25</v>
      </c>
      <c r="H104" s="32">
        <f t="shared" si="39"/>
        <v>135596034.75000003</v>
      </c>
      <c r="I104" s="32">
        <f t="shared" si="39"/>
        <v>0</v>
      </c>
      <c r="J104" s="32">
        <f>SUM(J85:J103)</f>
        <v>35483000</v>
      </c>
      <c r="K104" s="32">
        <f>SUM(K85:K103)</f>
        <v>35483000</v>
      </c>
      <c r="L104" s="32">
        <f>SUM(L85:L103)</f>
        <v>0</v>
      </c>
      <c r="M104" s="32">
        <f t="shared" si="39"/>
        <v>0</v>
      </c>
      <c r="N104" s="32">
        <f>SUM(N85:N103)</f>
        <v>15784071.789999999</v>
      </c>
      <c r="O104" s="32">
        <f>SUM(O85:O103)</f>
        <v>34334288.649999999</v>
      </c>
      <c r="P104" s="32">
        <f>SUM(P85:P103)</f>
        <v>-18550216.859999999</v>
      </c>
      <c r="Q104" s="32">
        <f t="shared" si="39"/>
        <v>0</v>
      </c>
      <c r="R104" s="32">
        <f t="shared" si="39"/>
        <v>361739751.79000002</v>
      </c>
      <c r="S104" s="32">
        <f t="shared" si="39"/>
        <v>244693933.89999998</v>
      </c>
      <c r="T104" s="34">
        <f>SUM(T85:T103)</f>
        <v>117045817.89000003</v>
      </c>
      <c r="U104" s="17">
        <f t="shared" si="26"/>
        <v>0.67643639574909531</v>
      </c>
    </row>
    <row r="105" spans="2:25" ht="24.95" customHeight="1">
      <c r="B105" s="18"/>
      <c r="C105" s="10"/>
      <c r="D105" s="10"/>
      <c r="E105" s="22"/>
      <c r="F105" s="12"/>
      <c r="G105" s="12"/>
      <c r="H105" s="12"/>
      <c r="I105" s="13"/>
      <c r="J105" s="12"/>
      <c r="K105" s="12"/>
      <c r="L105" s="12"/>
      <c r="M105" s="12"/>
      <c r="N105" s="12"/>
      <c r="O105" s="12"/>
      <c r="P105" s="12"/>
      <c r="Q105" s="13"/>
      <c r="R105" s="12"/>
      <c r="S105" s="12"/>
      <c r="T105" s="14"/>
      <c r="U105" s="17"/>
      <c r="Y105" s="2" t="s">
        <v>96</v>
      </c>
    </row>
    <row r="106" spans="2:25" ht="24.95" customHeight="1">
      <c r="B106" s="18"/>
      <c r="C106" s="24" t="s">
        <v>97</v>
      </c>
      <c r="D106" s="10"/>
      <c r="E106" s="22"/>
      <c r="F106" s="12">
        <f>SUM(F108:F136)</f>
        <v>573565280.72000003</v>
      </c>
      <c r="G106" s="12">
        <f>SUM(G108:G136)</f>
        <v>221067247.93999997</v>
      </c>
      <c r="H106" s="12">
        <f t="shared" ref="H106:T106" si="40">SUM(H108:H136)</f>
        <v>352498032.77999997</v>
      </c>
      <c r="I106" s="12">
        <f t="shared" si="40"/>
        <v>0</v>
      </c>
      <c r="J106" s="12">
        <f>SUM(J108:J136)</f>
        <v>41106673</v>
      </c>
      <c r="K106" s="12">
        <f>SUM(K108:K136)</f>
        <v>24226843.149999999</v>
      </c>
      <c r="L106" s="12">
        <f>SUM(L108:L136)</f>
        <v>16879829.850000001</v>
      </c>
      <c r="M106" s="12">
        <f t="shared" si="40"/>
        <v>0</v>
      </c>
      <c r="N106" s="12">
        <f>SUM(N108:N136)</f>
        <v>19109508</v>
      </c>
      <c r="O106" s="12">
        <f>SUM(O108:O136)</f>
        <v>14895113.100000001</v>
      </c>
      <c r="P106" s="12">
        <f>SUM(P108:P136)</f>
        <v>4214394.8999999994</v>
      </c>
      <c r="Q106" s="12">
        <f t="shared" si="40"/>
        <v>0</v>
      </c>
      <c r="R106" s="12">
        <f t="shared" si="40"/>
        <v>633781461.72000003</v>
      </c>
      <c r="S106" s="12">
        <f t="shared" si="40"/>
        <v>260189204.18999997</v>
      </c>
      <c r="T106" s="14">
        <f t="shared" si="40"/>
        <v>373592257.52999997</v>
      </c>
      <c r="U106" s="17">
        <f>+S106/R106</f>
        <v>0.41053457683012767</v>
      </c>
    </row>
    <row r="107" spans="2:25" ht="24.95" customHeight="1">
      <c r="B107" s="18"/>
      <c r="C107" s="20" t="s">
        <v>98</v>
      </c>
      <c r="D107" s="20"/>
      <c r="E107" s="10"/>
      <c r="F107" s="12"/>
      <c r="G107" s="12"/>
      <c r="H107" s="12">
        <f t="shared" ref="H107:H115" si="41">+F107-G107</f>
        <v>0</v>
      </c>
      <c r="I107" s="13"/>
      <c r="J107" s="12"/>
      <c r="K107" s="12"/>
      <c r="L107" s="12">
        <f t="shared" ref="L107:L115" si="42">+J107-K107</f>
        <v>0</v>
      </c>
      <c r="M107" s="12"/>
      <c r="N107" s="12"/>
      <c r="O107" s="12"/>
      <c r="P107" s="12">
        <f t="shared" ref="P107:P115" si="43">+N107-O107</f>
        <v>0</v>
      </c>
      <c r="Q107" s="13"/>
      <c r="R107" s="12"/>
      <c r="S107" s="12"/>
      <c r="T107" s="14"/>
      <c r="U107" s="17"/>
    </row>
    <row r="108" spans="2:25" ht="24.95" customHeight="1">
      <c r="B108" s="18"/>
      <c r="C108" s="20"/>
      <c r="D108" s="20"/>
      <c r="E108" s="10" t="s">
        <v>99</v>
      </c>
      <c r="F108" s="12">
        <v>29005000</v>
      </c>
      <c r="G108" s="12">
        <v>11831358.529999999</v>
      </c>
      <c r="H108" s="12">
        <f t="shared" si="41"/>
        <v>17173641.469999999</v>
      </c>
      <c r="I108" s="13"/>
      <c r="J108" s="12">
        <v>31106673</v>
      </c>
      <c r="K108" s="12">
        <v>14904520.23</v>
      </c>
      <c r="L108" s="12">
        <f t="shared" si="42"/>
        <v>16202152.77</v>
      </c>
      <c r="M108" s="12"/>
      <c r="N108" s="12">
        <v>16516053</v>
      </c>
      <c r="O108" s="12">
        <v>13962076.890000001</v>
      </c>
      <c r="P108" s="12">
        <f t="shared" si="43"/>
        <v>2553976.1099999994</v>
      </c>
      <c r="Q108" s="13"/>
      <c r="R108" s="12">
        <f t="shared" ref="R108:S115" si="44">+F108+J108+N108</f>
        <v>76627726</v>
      </c>
      <c r="S108" s="12">
        <f t="shared" si="44"/>
        <v>40697955.649999999</v>
      </c>
      <c r="T108" s="14">
        <f t="shared" ref="T108:T115" si="45">+R108-S108</f>
        <v>35929770.350000001</v>
      </c>
      <c r="U108" s="17">
        <f t="shared" si="26"/>
        <v>0.5311126634503025</v>
      </c>
    </row>
    <row r="109" spans="2:25" ht="27" customHeight="1">
      <c r="B109" s="18"/>
      <c r="C109" s="10"/>
      <c r="D109" s="10"/>
      <c r="E109" s="22" t="s">
        <v>100</v>
      </c>
      <c r="F109" s="12">
        <v>20273000</v>
      </c>
      <c r="G109" s="12">
        <v>19798337.440000001</v>
      </c>
      <c r="H109" s="12">
        <f t="shared" si="41"/>
        <v>474662.55999999866</v>
      </c>
      <c r="I109" s="13"/>
      <c r="J109" s="12"/>
      <c r="K109" s="12"/>
      <c r="L109" s="12">
        <f t="shared" si="42"/>
        <v>0</v>
      </c>
      <c r="M109" s="12"/>
      <c r="N109" s="12"/>
      <c r="O109" s="12"/>
      <c r="P109" s="12">
        <f t="shared" si="43"/>
        <v>0</v>
      </c>
      <c r="Q109" s="13"/>
      <c r="R109" s="12">
        <f t="shared" si="44"/>
        <v>20273000</v>
      </c>
      <c r="S109" s="12">
        <f t="shared" si="44"/>
        <v>19798337.440000001</v>
      </c>
      <c r="T109" s="14">
        <f t="shared" si="45"/>
        <v>474662.55999999866</v>
      </c>
      <c r="U109" s="17">
        <f t="shared" si="26"/>
        <v>0.97658646672914717</v>
      </c>
    </row>
    <row r="110" spans="2:25" ht="27" customHeight="1">
      <c r="B110" s="18"/>
      <c r="C110" s="10"/>
      <c r="D110" s="10"/>
      <c r="E110" s="22" t="s">
        <v>101</v>
      </c>
      <c r="F110" s="12">
        <v>2852000</v>
      </c>
      <c r="G110" s="12">
        <v>2364720.7200000002</v>
      </c>
      <c r="H110" s="12">
        <f t="shared" si="41"/>
        <v>487279.2799999998</v>
      </c>
      <c r="I110" s="13"/>
      <c r="J110" s="12"/>
      <c r="K110" s="12"/>
      <c r="L110" s="12">
        <f t="shared" si="42"/>
        <v>0</v>
      </c>
      <c r="M110" s="12"/>
      <c r="N110" s="12"/>
      <c r="O110" s="12"/>
      <c r="P110" s="12">
        <f t="shared" si="43"/>
        <v>0</v>
      </c>
      <c r="Q110" s="13"/>
      <c r="R110" s="12">
        <f t="shared" si="44"/>
        <v>2852000</v>
      </c>
      <c r="S110" s="12">
        <f t="shared" si="44"/>
        <v>2364720.7200000002</v>
      </c>
      <c r="T110" s="14">
        <f t="shared" si="45"/>
        <v>487279.2799999998</v>
      </c>
      <c r="U110" s="17">
        <f t="shared" si="26"/>
        <v>0.82914471248246846</v>
      </c>
    </row>
    <row r="111" spans="2:25" ht="29.25" customHeight="1">
      <c r="B111" s="18"/>
      <c r="C111" s="10"/>
      <c r="D111" s="10"/>
      <c r="E111" s="22" t="s">
        <v>102</v>
      </c>
      <c r="F111" s="12">
        <v>1461000</v>
      </c>
      <c r="G111" s="12">
        <v>1458445.3799999997</v>
      </c>
      <c r="H111" s="12">
        <f t="shared" si="41"/>
        <v>2554.6200000003446</v>
      </c>
      <c r="I111" s="13"/>
      <c r="J111" s="12"/>
      <c r="K111" s="12"/>
      <c r="L111" s="12">
        <f t="shared" si="42"/>
        <v>0</v>
      </c>
      <c r="M111" s="12"/>
      <c r="N111" s="12"/>
      <c r="O111" s="12"/>
      <c r="P111" s="12">
        <f t="shared" si="43"/>
        <v>0</v>
      </c>
      <c r="Q111" s="13"/>
      <c r="R111" s="12">
        <f t="shared" si="44"/>
        <v>1461000</v>
      </c>
      <c r="S111" s="12">
        <f t="shared" si="44"/>
        <v>1458445.3799999997</v>
      </c>
      <c r="T111" s="14">
        <f t="shared" si="45"/>
        <v>2554.6200000003446</v>
      </c>
      <c r="U111" s="17">
        <f t="shared" si="26"/>
        <v>0.99825145790554393</v>
      </c>
    </row>
    <row r="112" spans="2:25" ht="24.95" customHeight="1">
      <c r="B112" s="18"/>
      <c r="C112" s="10"/>
      <c r="D112" s="10"/>
      <c r="E112" s="28" t="s">
        <v>103</v>
      </c>
      <c r="F112" s="12">
        <v>1004000</v>
      </c>
      <c r="G112" s="12">
        <v>798638.17</v>
      </c>
      <c r="H112" s="12">
        <f t="shared" si="41"/>
        <v>205361.82999999996</v>
      </c>
      <c r="I112" s="13"/>
      <c r="J112" s="12"/>
      <c r="K112" s="12"/>
      <c r="L112" s="12">
        <f t="shared" si="42"/>
        <v>0</v>
      </c>
      <c r="M112" s="12"/>
      <c r="N112" s="12"/>
      <c r="O112" s="12"/>
      <c r="P112" s="12">
        <f t="shared" si="43"/>
        <v>0</v>
      </c>
      <c r="Q112" s="13"/>
      <c r="R112" s="12">
        <f t="shared" si="44"/>
        <v>1004000</v>
      </c>
      <c r="S112" s="12">
        <f t="shared" si="44"/>
        <v>798638.17</v>
      </c>
      <c r="T112" s="14">
        <f t="shared" si="45"/>
        <v>205361.82999999996</v>
      </c>
      <c r="U112" s="17">
        <f t="shared" si="26"/>
        <v>0.79545634462151393</v>
      </c>
    </row>
    <row r="113" spans="2:22" ht="24.95" customHeight="1">
      <c r="B113" s="18"/>
      <c r="C113" s="10"/>
      <c r="D113" s="10"/>
      <c r="E113" s="22" t="s">
        <v>104</v>
      </c>
      <c r="F113" s="12">
        <v>3099000</v>
      </c>
      <c r="G113" s="12">
        <v>2350084.38</v>
      </c>
      <c r="H113" s="12">
        <f t="shared" si="41"/>
        <v>748915.62000000011</v>
      </c>
      <c r="I113" s="13"/>
      <c r="J113" s="12"/>
      <c r="K113" s="12"/>
      <c r="L113" s="12">
        <f t="shared" si="42"/>
        <v>0</v>
      </c>
      <c r="M113" s="12"/>
      <c r="N113" s="12"/>
      <c r="O113" s="12"/>
      <c r="P113" s="12">
        <f t="shared" si="43"/>
        <v>0</v>
      </c>
      <c r="Q113" s="13"/>
      <c r="R113" s="12">
        <f t="shared" si="44"/>
        <v>3099000</v>
      </c>
      <c r="S113" s="12">
        <f t="shared" si="44"/>
        <v>2350084.38</v>
      </c>
      <c r="T113" s="14">
        <f t="shared" si="45"/>
        <v>748915.62000000011</v>
      </c>
      <c r="U113" s="17">
        <f t="shared" si="26"/>
        <v>0.75833636011616645</v>
      </c>
    </row>
    <row r="114" spans="2:22" ht="29.25" customHeight="1">
      <c r="B114" s="18"/>
      <c r="C114" s="10"/>
      <c r="D114" s="10"/>
      <c r="E114" s="22" t="s">
        <v>105</v>
      </c>
      <c r="F114" s="12">
        <v>17320774</v>
      </c>
      <c r="G114" s="12">
        <v>12445571.640000001</v>
      </c>
      <c r="H114" s="12">
        <f t="shared" si="41"/>
        <v>4875202.3599999994</v>
      </c>
      <c r="I114" s="13"/>
      <c r="J114" s="12"/>
      <c r="K114" s="12"/>
      <c r="L114" s="12">
        <f t="shared" si="42"/>
        <v>0</v>
      </c>
      <c r="M114" s="12"/>
      <c r="N114" s="12"/>
      <c r="O114" s="12"/>
      <c r="P114" s="12">
        <f t="shared" si="43"/>
        <v>0</v>
      </c>
      <c r="Q114" s="13"/>
      <c r="R114" s="12">
        <f t="shared" si="44"/>
        <v>17320774</v>
      </c>
      <c r="S114" s="12">
        <f t="shared" si="44"/>
        <v>12445571.640000001</v>
      </c>
      <c r="T114" s="14">
        <f t="shared" si="45"/>
        <v>4875202.3599999994</v>
      </c>
      <c r="U114" s="17">
        <f t="shared" si="26"/>
        <v>0.7185343818930956</v>
      </c>
    </row>
    <row r="115" spans="2:22" ht="29.25" customHeight="1">
      <c r="B115" s="18"/>
      <c r="C115" s="10"/>
      <c r="D115" s="10"/>
      <c r="E115" s="21" t="s">
        <v>106</v>
      </c>
      <c r="F115" s="12">
        <v>12788000</v>
      </c>
      <c r="G115" s="12">
        <v>2760509.34</v>
      </c>
      <c r="H115" s="12">
        <f t="shared" si="41"/>
        <v>10027490.66</v>
      </c>
      <c r="I115" s="13"/>
      <c r="J115" s="12"/>
      <c r="K115" s="12"/>
      <c r="L115" s="12">
        <f t="shared" si="42"/>
        <v>0</v>
      </c>
      <c r="M115" s="12"/>
      <c r="N115" s="12">
        <v>338958</v>
      </c>
      <c r="O115" s="12">
        <v>338957.81</v>
      </c>
      <c r="P115" s="12">
        <f t="shared" si="43"/>
        <v>0.19000000000232831</v>
      </c>
      <c r="Q115" s="13"/>
      <c r="R115" s="12">
        <f t="shared" si="44"/>
        <v>13126958</v>
      </c>
      <c r="S115" s="12">
        <f t="shared" si="44"/>
        <v>3099467.15</v>
      </c>
      <c r="T115" s="14">
        <f t="shared" si="45"/>
        <v>10027490.85</v>
      </c>
      <c r="U115" s="17">
        <f t="shared" si="26"/>
        <v>0.23611465428624057</v>
      </c>
    </row>
    <row r="116" spans="2:22" ht="24.95" customHeight="1">
      <c r="B116" s="18"/>
      <c r="C116" s="10"/>
      <c r="D116" s="10"/>
      <c r="E116" s="28"/>
      <c r="F116" s="12"/>
      <c r="G116" s="12"/>
      <c r="H116" s="12"/>
      <c r="I116" s="13"/>
      <c r="J116" s="12"/>
      <c r="K116" s="12"/>
      <c r="L116" s="12"/>
      <c r="M116" s="12"/>
      <c r="N116" s="12"/>
      <c r="O116" s="12"/>
      <c r="P116" s="12"/>
      <c r="Q116" s="13"/>
      <c r="R116" s="12"/>
      <c r="S116" s="12"/>
      <c r="T116" s="14"/>
      <c r="U116" s="17"/>
    </row>
    <row r="117" spans="2:22" ht="24.95" customHeight="1">
      <c r="B117" s="18"/>
      <c r="C117" s="20" t="s">
        <v>107</v>
      </c>
      <c r="D117" s="20"/>
      <c r="E117" s="10"/>
      <c r="F117" s="12"/>
      <c r="G117" s="12"/>
      <c r="H117" s="12"/>
      <c r="I117" s="13"/>
      <c r="J117" s="12"/>
      <c r="K117" s="12"/>
      <c r="L117" s="12"/>
      <c r="M117" s="12"/>
      <c r="N117" s="12"/>
      <c r="O117" s="12"/>
      <c r="P117" s="12"/>
      <c r="Q117" s="13"/>
      <c r="R117" s="12"/>
      <c r="S117" s="12"/>
      <c r="T117" s="14"/>
      <c r="U117" s="17"/>
    </row>
    <row r="118" spans="2:22" ht="24.95" customHeight="1">
      <c r="B118" s="18"/>
      <c r="C118" s="20"/>
      <c r="D118" s="20"/>
      <c r="E118" s="10" t="s">
        <v>108</v>
      </c>
      <c r="F118" s="12">
        <v>67347000</v>
      </c>
      <c r="G118" s="12">
        <v>12958818.869999999</v>
      </c>
      <c r="H118" s="12">
        <f>+F118-G118</f>
        <v>54388181.130000003</v>
      </c>
      <c r="I118" s="13"/>
      <c r="J118" s="12"/>
      <c r="K118" s="12"/>
      <c r="L118" s="12">
        <f>+J118-K118</f>
        <v>0</v>
      </c>
      <c r="M118" s="12"/>
      <c r="N118" s="12">
        <v>0</v>
      </c>
      <c r="O118" s="12">
        <v>0</v>
      </c>
      <c r="P118" s="12">
        <f>+N118-O118</f>
        <v>0</v>
      </c>
      <c r="Q118" s="13"/>
      <c r="R118" s="12">
        <f t="shared" ref="R118:S121" si="46">+F118+J118+N118</f>
        <v>67347000</v>
      </c>
      <c r="S118" s="12">
        <f t="shared" si="46"/>
        <v>12958818.869999999</v>
      </c>
      <c r="T118" s="14">
        <f>+R118-S118</f>
        <v>54388181.130000003</v>
      </c>
      <c r="U118" s="17">
        <f t="shared" si="26"/>
        <v>0.19241865071940842</v>
      </c>
    </row>
    <row r="119" spans="2:22" ht="28.5" customHeight="1">
      <c r="B119" s="18"/>
      <c r="C119" s="10"/>
      <c r="D119" s="10"/>
      <c r="E119" s="21" t="s">
        <v>109</v>
      </c>
      <c r="F119" s="12">
        <v>37660000</v>
      </c>
      <c r="G119" s="12">
        <v>24771517.469999999</v>
      </c>
      <c r="H119" s="12">
        <f>+F119-G119</f>
        <v>12888482.530000001</v>
      </c>
      <c r="I119" s="13"/>
      <c r="J119" s="12"/>
      <c r="K119" s="12"/>
      <c r="L119" s="12">
        <f>+J119-K119</f>
        <v>0</v>
      </c>
      <c r="M119" s="12"/>
      <c r="N119" s="12">
        <v>594079</v>
      </c>
      <c r="O119" s="12">
        <v>594078.4</v>
      </c>
      <c r="P119" s="12">
        <f>+N119-O119</f>
        <v>0.59999999997671694</v>
      </c>
      <c r="Q119" s="13"/>
      <c r="R119" s="12">
        <f t="shared" si="46"/>
        <v>38254079</v>
      </c>
      <c r="S119" s="12">
        <f t="shared" si="46"/>
        <v>25365595.869999997</v>
      </c>
      <c r="T119" s="14">
        <f>+R119-S119</f>
        <v>12888483.130000003</v>
      </c>
      <c r="U119" s="17">
        <f t="shared" si="26"/>
        <v>0.66308212177843828</v>
      </c>
    </row>
    <row r="120" spans="2:22" ht="28.5" customHeight="1">
      <c r="B120" s="18"/>
      <c r="C120" s="10"/>
      <c r="D120" s="10"/>
      <c r="E120" s="21" t="s">
        <v>110</v>
      </c>
      <c r="F120" s="12">
        <v>10788462</v>
      </c>
      <c r="G120" s="12">
        <v>8166007.9699999997</v>
      </c>
      <c r="H120" s="12">
        <f>+F120-G120</f>
        <v>2622454.0300000003</v>
      </c>
      <c r="I120" s="13"/>
      <c r="J120" s="12"/>
      <c r="K120" s="12"/>
      <c r="L120" s="12">
        <f>+J120-K120</f>
        <v>0</v>
      </c>
      <c r="M120" s="12"/>
      <c r="N120" s="12">
        <v>0</v>
      </c>
      <c r="O120" s="12">
        <v>0</v>
      </c>
      <c r="P120" s="12">
        <f>+N120-O120</f>
        <v>0</v>
      </c>
      <c r="Q120" s="13"/>
      <c r="R120" s="12">
        <f t="shared" si="46"/>
        <v>10788462</v>
      </c>
      <c r="S120" s="12">
        <f t="shared" si="46"/>
        <v>8166007.9699999997</v>
      </c>
      <c r="T120" s="14">
        <f>+R120-S120</f>
        <v>2622454.0300000003</v>
      </c>
      <c r="U120" s="17">
        <f t="shared" si="26"/>
        <v>0.75692049246685944</v>
      </c>
    </row>
    <row r="121" spans="2:22" ht="28.5" customHeight="1">
      <c r="B121" s="18"/>
      <c r="C121" s="10"/>
      <c r="D121" s="10"/>
      <c r="E121" s="22" t="s">
        <v>111</v>
      </c>
      <c r="F121" s="12">
        <v>8698380</v>
      </c>
      <c r="G121" s="12">
        <v>5881253.9299999997</v>
      </c>
      <c r="H121" s="12">
        <f>+F121-G121</f>
        <v>2817126.0700000003</v>
      </c>
      <c r="I121" s="13"/>
      <c r="J121" s="12"/>
      <c r="K121" s="12"/>
      <c r="L121" s="12">
        <f>+J121-K121</f>
        <v>0</v>
      </c>
      <c r="M121" s="12"/>
      <c r="N121" s="12"/>
      <c r="O121" s="12">
        <v>0</v>
      </c>
      <c r="P121" s="12">
        <f>+N121-O121</f>
        <v>0</v>
      </c>
      <c r="Q121" s="13"/>
      <c r="R121" s="12">
        <f t="shared" si="46"/>
        <v>8698380</v>
      </c>
      <c r="S121" s="12">
        <f t="shared" si="46"/>
        <v>5881253.9299999997</v>
      </c>
      <c r="T121" s="14">
        <f>+R121-S121</f>
        <v>2817126.0700000003</v>
      </c>
      <c r="U121" s="17">
        <f t="shared" si="26"/>
        <v>0.67613209931044627</v>
      </c>
    </row>
    <row r="122" spans="2:22" ht="24.95" customHeight="1">
      <c r="B122" s="18"/>
      <c r="C122" s="10"/>
      <c r="D122" s="10"/>
      <c r="E122" s="22"/>
      <c r="F122" s="12"/>
      <c r="G122" s="12"/>
      <c r="H122" s="12"/>
      <c r="I122" s="13"/>
      <c r="J122" s="12"/>
      <c r="K122" s="12"/>
      <c r="L122" s="12"/>
      <c r="M122" s="12"/>
      <c r="N122" s="12"/>
      <c r="O122" s="12"/>
      <c r="P122" s="12"/>
      <c r="Q122" s="13"/>
      <c r="R122" s="12"/>
      <c r="S122" s="12"/>
      <c r="T122" s="14"/>
      <c r="U122" s="17"/>
    </row>
    <row r="123" spans="2:22" ht="24.95" customHeight="1">
      <c r="B123" s="18"/>
      <c r="C123" s="20" t="s">
        <v>112</v>
      </c>
      <c r="D123" s="20"/>
      <c r="E123" s="10"/>
      <c r="F123" s="12"/>
      <c r="G123" s="12"/>
      <c r="H123" s="12"/>
      <c r="I123" s="13"/>
      <c r="J123" s="12"/>
      <c r="K123" s="12"/>
      <c r="L123" s="12"/>
      <c r="M123" s="12"/>
      <c r="N123" s="12"/>
      <c r="O123" s="12"/>
      <c r="P123" s="12"/>
      <c r="Q123" s="13"/>
      <c r="R123" s="12"/>
      <c r="S123" s="12"/>
      <c r="T123" s="14"/>
      <c r="U123" s="17"/>
    </row>
    <row r="124" spans="2:22" ht="24.95" customHeight="1">
      <c r="B124" s="18"/>
      <c r="C124" s="20"/>
      <c r="D124" s="20"/>
      <c r="E124" s="10" t="s">
        <v>113</v>
      </c>
      <c r="F124" s="12">
        <v>30658000</v>
      </c>
      <c r="G124" s="12">
        <v>22894754.359999999</v>
      </c>
      <c r="H124" s="12">
        <f>+F124-G124</f>
        <v>7763245.6400000006</v>
      </c>
      <c r="I124" s="13"/>
      <c r="J124" s="12"/>
      <c r="K124" s="12"/>
      <c r="L124" s="12">
        <f>+J124-K124</f>
        <v>0</v>
      </c>
      <c r="M124" s="12"/>
      <c r="N124" s="12"/>
      <c r="O124" s="12"/>
      <c r="P124" s="12">
        <f>+N124-O124</f>
        <v>0</v>
      </c>
      <c r="Q124" s="13"/>
      <c r="R124" s="12">
        <f t="shared" ref="R124:S126" si="47">+F124+J124+N124</f>
        <v>30658000</v>
      </c>
      <c r="S124" s="12">
        <f t="shared" si="47"/>
        <v>22894754.359999999</v>
      </c>
      <c r="T124" s="14">
        <f>+R124-S124</f>
        <v>7763245.6400000006</v>
      </c>
      <c r="U124" s="17">
        <f t="shared" si="26"/>
        <v>0.74677912323047813</v>
      </c>
      <c r="V124" s="2" t="s">
        <v>140</v>
      </c>
    </row>
    <row r="125" spans="2:22" ht="24.95" customHeight="1">
      <c r="B125" s="18"/>
      <c r="C125" s="10"/>
      <c r="D125" s="10"/>
      <c r="E125" s="22" t="s">
        <v>115</v>
      </c>
      <c r="F125" s="12">
        <v>77763013</v>
      </c>
      <c r="G125" s="12">
        <v>19583542.829999998</v>
      </c>
      <c r="H125" s="12">
        <f>+F125-G125</f>
        <v>58179470.170000002</v>
      </c>
      <c r="I125" s="13"/>
      <c r="J125" s="12"/>
      <c r="K125" s="12"/>
      <c r="L125" s="12">
        <f>+J125-K125</f>
        <v>0</v>
      </c>
      <c r="M125" s="12"/>
      <c r="N125" s="12">
        <v>1660418</v>
      </c>
      <c r="O125" s="12"/>
      <c r="P125" s="12">
        <f>+N125-O125</f>
        <v>1660418</v>
      </c>
      <c r="Q125" s="13"/>
      <c r="R125" s="12">
        <f t="shared" si="47"/>
        <v>79423431</v>
      </c>
      <c r="S125" s="12">
        <f t="shared" si="47"/>
        <v>19583542.829999998</v>
      </c>
      <c r="T125" s="14">
        <f>+R125-S125</f>
        <v>59839888.170000002</v>
      </c>
      <c r="U125" s="17">
        <f t="shared" si="26"/>
        <v>0.2465713528542981</v>
      </c>
    </row>
    <row r="126" spans="2:22" ht="28.5" customHeight="1">
      <c r="B126" s="18"/>
      <c r="C126" s="10"/>
      <c r="D126" s="10"/>
      <c r="E126" s="22" t="s">
        <v>116</v>
      </c>
      <c r="F126" s="12">
        <v>49568651.719999999</v>
      </c>
      <c r="G126" s="12">
        <v>13492638.17</v>
      </c>
      <c r="H126" s="12">
        <f>+F126-G126</f>
        <v>36076013.549999997</v>
      </c>
      <c r="I126" s="13"/>
      <c r="J126" s="12"/>
      <c r="K126" s="12"/>
      <c r="L126" s="12">
        <f>+J126-K126</f>
        <v>0</v>
      </c>
      <c r="M126" s="12"/>
      <c r="N126" s="12"/>
      <c r="O126" s="12"/>
      <c r="P126" s="12">
        <f>+N126-O126</f>
        <v>0</v>
      </c>
      <c r="Q126" s="13"/>
      <c r="R126" s="12">
        <f t="shared" si="47"/>
        <v>49568651.719999999</v>
      </c>
      <c r="S126" s="12">
        <f t="shared" si="47"/>
        <v>13492638.17</v>
      </c>
      <c r="T126" s="14">
        <f>+R126-S126</f>
        <v>36076013.549999997</v>
      </c>
      <c r="U126" s="17">
        <f t="shared" si="26"/>
        <v>0.27220103234230153</v>
      </c>
    </row>
    <row r="127" spans="2:22" ht="24.95" customHeight="1">
      <c r="B127" s="18"/>
      <c r="C127" s="10"/>
      <c r="D127" s="10"/>
      <c r="E127" s="22"/>
      <c r="F127" s="12"/>
      <c r="G127" s="12"/>
      <c r="H127" s="12"/>
      <c r="I127" s="13"/>
      <c r="J127" s="12"/>
      <c r="K127" s="12"/>
      <c r="L127" s="12"/>
      <c r="M127" s="12"/>
      <c r="N127" s="12"/>
      <c r="O127" s="12"/>
      <c r="P127" s="12"/>
      <c r="Q127" s="13"/>
      <c r="R127" s="12"/>
      <c r="S127" s="12"/>
      <c r="T127" s="14"/>
      <c r="U127" s="17"/>
    </row>
    <row r="128" spans="2:22" ht="24.95" customHeight="1">
      <c r="B128" s="18"/>
      <c r="C128" s="20" t="s">
        <v>117</v>
      </c>
      <c r="D128" s="20"/>
      <c r="E128" s="10"/>
      <c r="F128" s="12"/>
      <c r="G128" s="12"/>
      <c r="H128" s="12"/>
      <c r="I128" s="13"/>
      <c r="J128" s="12"/>
      <c r="K128" s="12"/>
      <c r="L128" s="12"/>
      <c r="M128" s="12"/>
      <c r="N128" s="12"/>
      <c r="O128" s="12"/>
      <c r="P128" s="12"/>
      <c r="Q128" s="13"/>
      <c r="R128" s="12"/>
      <c r="S128" s="12"/>
      <c r="T128" s="14"/>
      <c r="U128" s="17"/>
    </row>
    <row r="129" spans="2:21" ht="24.95" customHeight="1">
      <c r="B129" s="18"/>
      <c r="C129" s="20"/>
      <c r="D129" s="20"/>
      <c r="E129" s="10" t="s">
        <v>118</v>
      </c>
      <c r="F129" s="12">
        <v>16709000</v>
      </c>
      <c r="G129" s="12">
        <v>16709000</v>
      </c>
      <c r="H129" s="12">
        <f>+F129-G129</f>
        <v>0</v>
      </c>
      <c r="I129" s="13"/>
      <c r="J129" s="12">
        <v>10000000</v>
      </c>
      <c r="K129" s="12">
        <v>9322322.9199999999</v>
      </c>
      <c r="L129" s="12">
        <f>+J129-K129</f>
        <v>677677.08000000007</v>
      </c>
      <c r="M129" s="12"/>
      <c r="N129" s="12"/>
      <c r="O129" s="12"/>
      <c r="P129" s="12">
        <f>+N129-O129</f>
        <v>0</v>
      </c>
      <c r="Q129" s="13"/>
      <c r="R129" s="12">
        <f t="shared" ref="R129:S131" si="48">+F129+J129+N129</f>
        <v>26709000</v>
      </c>
      <c r="S129" s="12">
        <f t="shared" si="48"/>
        <v>26031322.920000002</v>
      </c>
      <c r="T129" s="14">
        <f>+R129-S129</f>
        <v>677677.07999999821</v>
      </c>
      <c r="U129" s="17">
        <f t="shared" si="26"/>
        <v>0.97462738852072339</v>
      </c>
    </row>
    <row r="130" spans="2:21" ht="27.75" customHeight="1">
      <c r="B130" s="18"/>
      <c r="C130" s="10"/>
      <c r="D130" s="10"/>
      <c r="E130" s="22" t="s">
        <v>119</v>
      </c>
      <c r="F130" s="12">
        <v>67936000</v>
      </c>
      <c r="G130" s="12">
        <v>12243928.119999999</v>
      </c>
      <c r="H130" s="12">
        <f>+F130-G130</f>
        <v>55692071.880000003</v>
      </c>
      <c r="I130" s="13"/>
      <c r="J130" s="12"/>
      <c r="K130" s="12"/>
      <c r="L130" s="12">
        <f>+J130-K130</f>
        <v>0</v>
      </c>
      <c r="M130" s="12"/>
      <c r="N130" s="12"/>
      <c r="O130" s="12"/>
      <c r="P130" s="12">
        <f>+N130-O130</f>
        <v>0</v>
      </c>
      <c r="Q130" s="13"/>
      <c r="R130" s="12">
        <f t="shared" si="48"/>
        <v>67936000</v>
      </c>
      <c r="S130" s="12">
        <f t="shared" si="48"/>
        <v>12243928.119999999</v>
      </c>
      <c r="T130" s="14">
        <f>+R130-S130</f>
        <v>55692071.880000003</v>
      </c>
      <c r="U130" s="17">
        <f t="shared" si="26"/>
        <v>0.18022739225153084</v>
      </c>
    </row>
    <row r="131" spans="2:21" ht="24.95" customHeight="1">
      <c r="B131" s="18"/>
      <c r="C131" s="10"/>
      <c r="D131" s="10"/>
      <c r="E131" s="28" t="s">
        <v>120</v>
      </c>
      <c r="F131" s="12">
        <v>2865000</v>
      </c>
      <c r="G131" s="12">
        <v>1190878.2</v>
      </c>
      <c r="H131" s="12">
        <f>+F131-G131</f>
        <v>1674121.8</v>
      </c>
      <c r="I131" s="13"/>
      <c r="J131" s="12"/>
      <c r="K131" s="12"/>
      <c r="L131" s="12">
        <f>+J131-K131</f>
        <v>0</v>
      </c>
      <c r="M131" s="12"/>
      <c r="N131" s="12"/>
      <c r="O131" s="12"/>
      <c r="P131" s="12">
        <f>+N131-O131</f>
        <v>0</v>
      </c>
      <c r="Q131" s="13"/>
      <c r="R131" s="12">
        <f t="shared" si="48"/>
        <v>2865000</v>
      </c>
      <c r="S131" s="12">
        <f t="shared" si="48"/>
        <v>1190878.2</v>
      </c>
      <c r="T131" s="14">
        <f>+R131-S131</f>
        <v>1674121.8</v>
      </c>
      <c r="U131" s="17">
        <f t="shared" si="26"/>
        <v>0.41566429319371728</v>
      </c>
    </row>
    <row r="132" spans="2:21" ht="24.95" customHeight="1">
      <c r="B132" s="18"/>
      <c r="C132" s="10"/>
      <c r="D132" s="10"/>
      <c r="E132" s="28"/>
      <c r="F132" s="12"/>
      <c r="G132" s="12"/>
      <c r="H132" s="12"/>
      <c r="I132" s="13"/>
      <c r="J132" s="12"/>
      <c r="K132" s="12"/>
      <c r="L132" s="12"/>
      <c r="M132" s="12"/>
      <c r="N132" s="12"/>
      <c r="O132" s="12"/>
      <c r="P132" s="12"/>
      <c r="Q132" s="13"/>
      <c r="R132" s="12"/>
      <c r="S132" s="12"/>
      <c r="T132" s="14"/>
      <c r="U132" s="17"/>
    </row>
    <row r="133" spans="2:21" ht="24.95" customHeight="1">
      <c r="B133" s="18"/>
      <c r="C133" s="20" t="s">
        <v>121</v>
      </c>
      <c r="D133" s="20"/>
      <c r="E133" s="10"/>
      <c r="F133" s="12"/>
      <c r="G133" s="12"/>
      <c r="H133" s="12"/>
      <c r="I133" s="13"/>
      <c r="J133" s="12"/>
      <c r="K133" s="12"/>
      <c r="L133" s="12"/>
      <c r="M133" s="12"/>
      <c r="N133" s="12"/>
      <c r="O133" s="12"/>
      <c r="P133" s="12"/>
      <c r="Q133" s="13"/>
      <c r="R133" s="12"/>
      <c r="S133" s="12"/>
      <c r="T133" s="14"/>
      <c r="U133" s="17"/>
    </row>
    <row r="134" spans="2:21" ht="24.95" customHeight="1">
      <c r="B134" s="18"/>
      <c r="C134" s="20"/>
      <c r="D134" s="20"/>
      <c r="E134" s="10" t="s">
        <v>122</v>
      </c>
      <c r="F134" s="12">
        <v>61484000</v>
      </c>
      <c r="G134" s="12">
        <v>19659484.780000001</v>
      </c>
      <c r="H134" s="12">
        <f>+F134-G134</f>
        <v>41824515.219999999</v>
      </c>
      <c r="I134" s="13"/>
      <c r="J134" s="12"/>
      <c r="K134" s="12"/>
      <c r="L134" s="12">
        <f>+J134-K134</f>
        <v>0</v>
      </c>
      <c r="M134" s="12"/>
      <c r="N134" s="12"/>
      <c r="O134" s="12"/>
      <c r="P134" s="12">
        <f>+N134-O134</f>
        <v>0</v>
      </c>
      <c r="Q134" s="13"/>
      <c r="R134" s="12">
        <f t="shared" ref="R134:S136" si="49">+F134+J134+N134</f>
        <v>61484000</v>
      </c>
      <c r="S134" s="12">
        <f t="shared" si="49"/>
        <v>19659484.780000001</v>
      </c>
      <c r="T134" s="14">
        <f>+R134-S134</f>
        <v>41824515.219999999</v>
      </c>
      <c r="U134" s="17">
        <f t="shared" si="26"/>
        <v>0.31974960607637759</v>
      </c>
    </row>
    <row r="135" spans="2:21" ht="27.75" customHeight="1">
      <c r="B135" s="18"/>
      <c r="C135" s="10"/>
      <c r="D135" s="10"/>
      <c r="E135" s="22" t="s">
        <v>123</v>
      </c>
      <c r="F135" s="12">
        <v>36773000</v>
      </c>
      <c r="G135" s="12">
        <v>5501071</v>
      </c>
      <c r="H135" s="12">
        <f>+F135-G135</f>
        <v>31271929</v>
      </c>
      <c r="I135" s="13"/>
      <c r="J135" s="12"/>
      <c r="K135" s="12"/>
      <c r="L135" s="12">
        <f>+J135-K135</f>
        <v>0</v>
      </c>
      <c r="M135" s="12"/>
      <c r="N135" s="12"/>
      <c r="O135" s="12"/>
      <c r="P135" s="12">
        <f>+N135-O135</f>
        <v>0</v>
      </c>
      <c r="Q135" s="13"/>
      <c r="R135" s="12">
        <f t="shared" si="49"/>
        <v>36773000</v>
      </c>
      <c r="S135" s="12">
        <f t="shared" si="49"/>
        <v>5501071</v>
      </c>
      <c r="T135" s="14">
        <f>+R135-S135</f>
        <v>31271929</v>
      </c>
      <c r="U135" s="17">
        <f t="shared" si="26"/>
        <v>0.14959538248171211</v>
      </c>
    </row>
    <row r="136" spans="2:21" ht="27.75" customHeight="1">
      <c r="B136" s="18"/>
      <c r="C136" s="10"/>
      <c r="D136" s="10"/>
      <c r="E136" s="22" t="s">
        <v>124</v>
      </c>
      <c r="F136" s="12">
        <v>17512000</v>
      </c>
      <c r="G136" s="12">
        <v>4206686.6399999997</v>
      </c>
      <c r="H136" s="12">
        <f>+F136-G136</f>
        <v>13305313.359999999</v>
      </c>
      <c r="I136" s="13"/>
      <c r="J136" s="12"/>
      <c r="K136" s="12"/>
      <c r="L136" s="12">
        <f>+J136-K136</f>
        <v>0</v>
      </c>
      <c r="M136" s="12"/>
      <c r="N136" s="12"/>
      <c r="O136" s="12"/>
      <c r="P136" s="12">
        <f>+N136-O136</f>
        <v>0</v>
      </c>
      <c r="Q136" s="13"/>
      <c r="R136" s="12">
        <f t="shared" si="49"/>
        <v>17512000</v>
      </c>
      <c r="S136" s="12">
        <f t="shared" si="49"/>
        <v>4206686.6399999997</v>
      </c>
      <c r="T136" s="14">
        <f>+R136-S136</f>
        <v>13305313.359999999</v>
      </c>
      <c r="U136" s="17">
        <f t="shared" si="26"/>
        <v>0.24021737322978526</v>
      </c>
    </row>
    <row r="137" spans="2:21" ht="27.75" customHeight="1">
      <c r="B137" s="18"/>
      <c r="C137" s="10"/>
      <c r="D137" s="10"/>
      <c r="E137" s="31" t="s">
        <v>51</v>
      </c>
      <c r="F137" s="32">
        <f>SUM(F108:F136)</f>
        <v>573565280.72000003</v>
      </c>
      <c r="G137" s="32">
        <f t="shared" ref="G137:S137" si="50">SUM(G108:G136)</f>
        <v>221067247.93999997</v>
      </c>
      <c r="H137" s="32">
        <f t="shared" si="50"/>
        <v>352498032.77999997</v>
      </c>
      <c r="I137" s="32">
        <f t="shared" si="50"/>
        <v>0</v>
      </c>
      <c r="J137" s="32">
        <f>SUM(J108:J136)</f>
        <v>41106673</v>
      </c>
      <c r="K137" s="32">
        <f>SUM(K108:K136)</f>
        <v>24226843.149999999</v>
      </c>
      <c r="L137" s="32">
        <f>SUM(L108:L136)</f>
        <v>16879829.850000001</v>
      </c>
      <c r="M137" s="32">
        <f t="shared" si="50"/>
        <v>0</v>
      </c>
      <c r="N137" s="32">
        <f>SUM(N108:N136)</f>
        <v>19109508</v>
      </c>
      <c r="O137" s="32">
        <f>SUM(O108:O136)</f>
        <v>14895113.100000001</v>
      </c>
      <c r="P137" s="32">
        <f>SUM(P108:P136)</f>
        <v>4214394.8999999994</v>
      </c>
      <c r="Q137" s="32">
        <f t="shared" si="50"/>
        <v>0</v>
      </c>
      <c r="R137" s="32">
        <f t="shared" si="50"/>
        <v>633781461.72000003</v>
      </c>
      <c r="S137" s="32">
        <f t="shared" si="50"/>
        <v>260189204.18999997</v>
      </c>
      <c r="T137" s="34">
        <f>SUM(T108:T136)</f>
        <v>373592257.52999997</v>
      </c>
      <c r="U137" s="17">
        <f t="shared" si="26"/>
        <v>0.41053457683012767</v>
      </c>
    </row>
    <row r="138" spans="2:21" ht="24.95" customHeight="1">
      <c r="B138" s="18"/>
      <c r="C138" s="10"/>
      <c r="D138" s="10"/>
      <c r="E138" s="22"/>
      <c r="F138" s="12"/>
      <c r="G138" s="12"/>
      <c r="H138" s="12"/>
      <c r="I138" s="13"/>
      <c r="J138" s="12"/>
      <c r="K138" s="12"/>
      <c r="L138" s="12"/>
      <c r="M138" s="12"/>
      <c r="N138" s="12"/>
      <c r="O138" s="12"/>
      <c r="P138" s="12"/>
      <c r="Q138" s="13"/>
      <c r="R138" s="12"/>
      <c r="S138" s="12"/>
      <c r="T138" s="14"/>
      <c r="U138" s="17"/>
    </row>
    <row r="139" spans="2:21" ht="27.75" customHeight="1">
      <c r="B139" s="18"/>
      <c r="C139" s="24" t="s">
        <v>147</v>
      </c>
      <c r="D139" s="10"/>
      <c r="E139" s="22"/>
      <c r="F139" s="32"/>
      <c r="G139" s="32"/>
      <c r="H139" s="32"/>
      <c r="I139" s="33"/>
      <c r="J139" s="32"/>
      <c r="K139" s="32"/>
      <c r="L139" s="32"/>
      <c r="M139" s="32"/>
      <c r="N139" s="32"/>
      <c r="O139" s="32"/>
      <c r="P139" s="32"/>
      <c r="Q139" s="33"/>
      <c r="R139" s="32"/>
      <c r="S139" s="32"/>
      <c r="T139" s="34"/>
      <c r="U139" s="17"/>
    </row>
    <row r="140" spans="2:21" ht="27.75" customHeight="1">
      <c r="B140" s="18"/>
      <c r="C140" s="10"/>
      <c r="D140" s="10"/>
      <c r="E140" s="10" t="s">
        <v>148</v>
      </c>
      <c r="F140" s="12">
        <v>27730000</v>
      </c>
      <c r="G140" s="12">
        <v>17859241.940000001</v>
      </c>
      <c r="H140" s="12">
        <f>+F140-G140</f>
        <v>9870758.0599999987</v>
      </c>
      <c r="I140" s="13"/>
      <c r="J140" s="12"/>
      <c r="K140" s="12"/>
      <c r="L140" s="12">
        <f>+J140-K140</f>
        <v>0</v>
      </c>
      <c r="M140" s="12"/>
      <c r="N140" s="12"/>
      <c r="O140" s="12"/>
      <c r="P140" s="12">
        <f>+N140-O140</f>
        <v>0</v>
      </c>
      <c r="Q140" s="13"/>
      <c r="R140" s="12">
        <f t="shared" ref="R140:S141" si="51">+F140+J140+N140</f>
        <v>27730000</v>
      </c>
      <c r="S140" s="12">
        <f t="shared" si="51"/>
        <v>17859241.940000001</v>
      </c>
      <c r="T140" s="14">
        <f>+R140-S140</f>
        <v>9870758.0599999987</v>
      </c>
      <c r="U140" s="17">
        <f t="shared" ref="U140:U141" si="52">+S140/R140</f>
        <v>0.64404045943022004</v>
      </c>
    </row>
    <row r="141" spans="2:21" ht="27.75" customHeight="1">
      <c r="B141" s="18"/>
      <c r="C141" s="10"/>
      <c r="D141" s="10"/>
      <c r="E141" s="10" t="s">
        <v>149</v>
      </c>
      <c r="F141" s="12">
        <v>27311000</v>
      </c>
      <c r="G141" s="12">
        <v>19128377.75</v>
      </c>
      <c r="H141" s="12">
        <f>+F141-G141</f>
        <v>8182622.25</v>
      </c>
      <c r="I141" s="13"/>
      <c r="J141" s="12"/>
      <c r="K141" s="12"/>
      <c r="L141" s="12">
        <f>+J141-K141</f>
        <v>0</v>
      </c>
      <c r="M141" s="12"/>
      <c r="N141" s="12">
        <v>345800</v>
      </c>
      <c r="O141" s="12">
        <v>345799.75</v>
      </c>
      <c r="P141" s="12">
        <f>+N141-O141</f>
        <v>0.25</v>
      </c>
      <c r="Q141" s="13"/>
      <c r="R141" s="12">
        <f t="shared" si="51"/>
        <v>27656800</v>
      </c>
      <c r="S141" s="12">
        <f t="shared" si="51"/>
        <v>19474177.5</v>
      </c>
      <c r="T141" s="14">
        <f>+R141-S141</f>
        <v>8182622.5</v>
      </c>
      <c r="U141" s="17">
        <f t="shared" si="52"/>
        <v>0.70413704767001239</v>
      </c>
    </row>
    <row r="142" spans="2:21" ht="24.95" customHeight="1">
      <c r="B142" s="18"/>
      <c r="C142" s="10"/>
      <c r="D142" s="10"/>
      <c r="E142" s="22"/>
      <c r="F142" s="12"/>
      <c r="G142" s="12"/>
      <c r="H142" s="12"/>
      <c r="I142" s="13"/>
      <c r="J142" s="12"/>
      <c r="K142" s="12"/>
      <c r="L142" s="12"/>
      <c r="M142" s="12"/>
      <c r="N142" s="12"/>
      <c r="O142" s="12"/>
      <c r="P142" s="12"/>
      <c r="Q142" s="13"/>
      <c r="R142" s="12"/>
      <c r="S142" s="12"/>
      <c r="T142" s="14"/>
      <c r="U142" s="17"/>
    </row>
    <row r="143" spans="2:21" s="48" customFormat="1" ht="15.75" thickBot="1">
      <c r="B143" s="44"/>
      <c r="C143" s="24"/>
      <c r="D143" s="24"/>
      <c r="E143" s="45" t="s">
        <v>125</v>
      </c>
      <c r="F143" s="46">
        <f>+F8+F51+F81+F104+F137+F49+F50+F140+F141</f>
        <v>2835870951.1300001</v>
      </c>
      <c r="G143" s="46">
        <f t="shared" ref="G143:H143" si="53">+G8+G51+G81+G104+G137+G49+G50+G140+G141</f>
        <v>1779264195.5500004</v>
      </c>
      <c r="H143" s="46">
        <f t="shared" si="53"/>
        <v>1056606755.5799999</v>
      </c>
      <c r="I143" s="46">
        <f t="shared" ref="I143:Q143" si="54">+I8+I51+I81+I104+I137+I49+I50</f>
        <v>2208000</v>
      </c>
      <c r="J143" s="46">
        <f>+J8+J51+J81+J104+J137+J49+J50+J140+J141</f>
        <v>93810225</v>
      </c>
      <c r="K143" s="46">
        <f t="shared" ref="K143:L143" si="55">+K8+K51+K81+K104+K137+K49+K50+K140+K141</f>
        <v>76471735.150000006</v>
      </c>
      <c r="L143" s="46">
        <f t="shared" si="55"/>
        <v>17338489.850000001</v>
      </c>
      <c r="M143" s="46">
        <f t="shared" si="54"/>
        <v>0</v>
      </c>
      <c r="N143" s="46">
        <f>+N8+N51+N81+N104+N137+N49+N50+N140+N141</f>
        <v>177005641.94</v>
      </c>
      <c r="O143" s="46">
        <f t="shared" ref="O143:P143" si="56">+O8+O51+O81+O104+O137+O49+O50+O140+O141</f>
        <v>80506915.310000002</v>
      </c>
      <c r="P143" s="46">
        <f t="shared" si="56"/>
        <v>96498726.62999998</v>
      </c>
      <c r="Q143" s="46">
        <f t="shared" si="54"/>
        <v>0</v>
      </c>
      <c r="R143" s="46">
        <f>+R8+R51+R81+R104+R137+R49+R50+R140+R141</f>
        <v>3106686818.0699997</v>
      </c>
      <c r="S143" s="46">
        <f t="shared" ref="S143:T143" si="57">+S8+S51+S81+S104+S137+S49+S50+S140+S141</f>
        <v>1936242846.0100002</v>
      </c>
      <c r="T143" s="46">
        <f t="shared" si="57"/>
        <v>1170443972.0599999</v>
      </c>
      <c r="U143" s="47">
        <f>+S143/R143</f>
        <v>0.62325009226803008</v>
      </c>
    </row>
    <row r="144" spans="2:21" ht="15.75" thickTop="1" thickBot="1">
      <c r="B144" s="49"/>
      <c r="C144" s="50"/>
      <c r="D144" s="50"/>
      <c r="E144" s="51"/>
      <c r="F144" s="52"/>
      <c r="G144" s="52"/>
      <c r="H144" s="52"/>
      <c r="I144" s="53"/>
      <c r="J144" s="54"/>
      <c r="K144" s="54"/>
      <c r="L144" s="54"/>
      <c r="M144" s="54"/>
      <c r="N144" s="54"/>
      <c r="O144" s="54"/>
      <c r="P144" s="54"/>
      <c r="Q144" s="53"/>
      <c r="R144" s="54"/>
      <c r="S144" s="54"/>
      <c r="T144" s="55"/>
      <c r="U144" s="56"/>
    </row>
    <row r="145" spans="6:20" ht="24.95" customHeight="1">
      <c r="F145" s="30">
        <f>+F143+J143</f>
        <v>2929681176.1300001</v>
      </c>
      <c r="G145" s="30">
        <f>+G143+K143</f>
        <v>1855735930.7000005</v>
      </c>
      <c r="H145" s="30">
        <f>+F145-G145</f>
        <v>1073945245.4299996</v>
      </c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6:20" ht="24.95" customHeight="1">
      <c r="F146" s="58" t="s">
        <v>126</v>
      </c>
      <c r="J146" s="58" t="s">
        <v>127</v>
      </c>
      <c r="K146" s="30"/>
      <c r="N146" s="58" t="s">
        <v>128</v>
      </c>
      <c r="R146" s="13"/>
      <c r="S146" s="13"/>
      <c r="T146" s="13"/>
    </row>
    <row r="147" spans="6:20" ht="24.95" customHeight="1">
      <c r="R147" s="13"/>
      <c r="S147" s="13"/>
      <c r="T147" s="13"/>
    </row>
    <row r="148" spans="6:20" ht="24.95" customHeight="1">
      <c r="F148" s="59" t="s">
        <v>129</v>
      </c>
      <c r="J148" s="59" t="s">
        <v>130</v>
      </c>
      <c r="N148" s="59" t="s">
        <v>131</v>
      </c>
      <c r="R148" s="30"/>
      <c r="S148" s="30"/>
      <c r="T148" s="30"/>
    </row>
    <row r="149" spans="6:20" ht="17.25" customHeight="1">
      <c r="F149" s="58" t="s">
        <v>132</v>
      </c>
      <c r="J149" s="58" t="s">
        <v>133</v>
      </c>
      <c r="N149" s="58" t="s">
        <v>134</v>
      </c>
    </row>
  </sheetData>
  <autoFilter ref="B7:U140"/>
  <mergeCells count="11">
    <mergeCell ref="U5:U6"/>
    <mergeCell ref="C11:E11"/>
    <mergeCell ref="B1:T1"/>
    <mergeCell ref="B2:T2"/>
    <mergeCell ref="B3:T3"/>
    <mergeCell ref="B4:T4"/>
    <mergeCell ref="B5:E6"/>
    <mergeCell ref="F5:H5"/>
    <mergeCell ref="J5:L5"/>
    <mergeCell ref="N5:P5"/>
    <mergeCell ref="R5:T5"/>
  </mergeCells>
  <pageMargins left="1.25" right="0" top="0.36" bottom="0.3" header="0.27" footer="0.17"/>
  <pageSetup paperSize="5" scale="55" orientation="landscape" horizontalDpi="0" verticalDpi="0" r:id="rId1"/>
  <headerFooter>
    <oddFooter>&amp;R&amp;"-,Italic"&amp;8Page &amp;P of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B1:Y149"/>
  <sheetViews>
    <sheetView zoomScale="75" zoomScaleNormal="75" workbookViewId="0">
      <pane xSplit="5" ySplit="6" topLeftCell="F55" activePane="bottomRight" state="frozen"/>
      <selection pane="topRight" activeCell="F1" sqref="F1"/>
      <selection pane="bottomLeft" activeCell="A7" sqref="A7"/>
      <selection pane="bottomRight" activeCell="J62" sqref="J62"/>
    </sheetView>
  </sheetViews>
  <sheetFormatPr defaultRowHeight="24.95" customHeight="1"/>
  <cols>
    <col min="1" max="4" width="2.7109375" style="2" customWidth="1"/>
    <col min="5" max="5" width="50.5703125" style="57" customWidth="1"/>
    <col min="6" max="7" width="19.28515625" style="2" customWidth="1"/>
    <col min="8" max="8" width="18.5703125" style="2" customWidth="1"/>
    <col min="9" max="9" width="0.7109375" style="2" customWidth="1"/>
    <col min="10" max="10" width="24" style="2" bestFit="1" customWidth="1"/>
    <col min="11" max="11" width="18.7109375" style="2" bestFit="1" customWidth="1"/>
    <col min="12" max="12" width="19.42578125" style="2" bestFit="1" customWidth="1"/>
    <col min="13" max="13" width="0.5703125" style="2" customWidth="1"/>
    <col min="14" max="15" width="18.7109375" style="2" bestFit="1" customWidth="1"/>
    <col min="16" max="16" width="16.5703125" style="2" customWidth="1"/>
    <col min="17" max="17" width="0.7109375" style="2" customWidth="1"/>
    <col min="18" max="19" width="19.85546875" style="2" bestFit="1" customWidth="1"/>
    <col min="20" max="20" width="18.7109375" style="2" bestFit="1" customWidth="1"/>
    <col min="21" max="21" width="14.5703125" style="1" customWidth="1"/>
    <col min="22" max="22" width="9.140625" style="2"/>
    <col min="23" max="23" width="13.140625" style="2" bestFit="1" customWidth="1"/>
    <col min="24" max="256" width="9.140625" style="2"/>
    <col min="257" max="260" width="2.7109375" style="2" customWidth="1"/>
    <col min="261" max="261" width="50.5703125" style="2" customWidth="1"/>
    <col min="262" max="263" width="19.28515625" style="2" customWidth="1"/>
    <col min="264" max="264" width="18.5703125" style="2" customWidth="1"/>
    <col min="265" max="265" width="0.7109375" style="2" customWidth="1"/>
    <col min="266" max="266" width="24" style="2" bestFit="1" customWidth="1"/>
    <col min="267" max="267" width="18.7109375" style="2" bestFit="1" customWidth="1"/>
    <col min="268" max="268" width="19.42578125" style="2" bestFit="1" customWidth="1"/>
    <col min="269" max="269" width="0.5703125" style="2" customWidth="1"/>
    <col min="270" max="271" width="18.7109375" style="2" bestFit="1" customWidth="1"/>
    <col min="272" max="272" width="16.5703125" style="2" customWidth="1"/>
    <col min="273" max="273" width="0.7109375" style="2" customWidth="1"/>
    <col min="274" max="275" width="19.85546875" style="2" bestFit="1" customWidth="1"/>
    <col min="276" max="276" width="18.7109375" style="2" bestFit="1" customWidth="1"/>
    <col min="277" max="277" width="14.5703125" style="2" customWidth="1"/>
    <col min="278" max="278" width="9.140625" style="2"/>
    <col min="279" max="279" width="13.140625" style="2" bestFit="1" customWidth="1"/>
    <col min="280" max="512" width="9.140625" style="2"/>
    <col min="513" max="516" width="2.7109375" style="2" customWidth="1"/>
    <col min="517" max="517" width="50.5703125" style="2" customWidth="1"/>
    <col min="518" max="519" width="19.28515625" style="2" customWidth="1"/>
    <col min="520" max="520" width="18.5703125" style="2" customWidth="1"/>
    <col min="521" max="521" width="0.7109375" style="2" customWidth="1"/>
    <col min="522" max="522" width="24" style="2" bestFit="1" customWidth="1"/>
    <col min="523" max="523" width="18.7109375" style="2" bestFit="1" customWidth="1"/>
    <col min="524" max="524" width="19.42578125" style="2" bestFit="1" customWidth="1"/>
    <col min="525" max="525" width="0.5703125" style="2" customWidth="1"/>
    <col min="526" max="527" width="18.7109375" style="2" bestFit="1" customWidth="1"/>
    <col min="528" max="528" width="16.5703125" style="2" customWidth="1"/>
    <col min="529" max="529" width="0.7109375" style="2" customWidth="1"/>
    <col min="530" max="531" width="19.85546875" style="2" bestFit="1" customWidth="1"/>
    <col min="532" max="532" width="18.7109375" style="2" bestFit="1" customWidth="1"/>
    <col min="533" max="533" width="14.5703125" style="2" customWidth="1"/>
    <col min="534" max="534" width="9.140625" style="2"/>
    <col min="535" max="535" width="13.140625" style="2" bestFit="1" customWidth="1"/>
    <col min="536" max="768" width="9.140625" style="2"/>
    <col min="769" max="772" width="2.7109375" style="2" customWidth="1"/>
    <col min="773" max="773" width="50.5703125" style="2" customWidth="1"/>
    <col min="774" max="775" width="19.28515625" style="2" customWidth="1"/>
    <col min="776" max="776" width="18.5703125" style="2" customWidth="1"/>
    <col min="777" max="777" width="0.7109375" style="2" customWidth="1"/>
    <col min="778" max="778" width="24" style="2" bestFit="1" customWidth="1"/>
    <col min="779" max="779" width="18.7109375" style="2" bestFit="1" customWidth="1"/>
    <col min="780" max="780" width="19.42578125" style="2" bestFit="1" customWidth="1"/>
    <col min="781" max="781" width="0.5703125" style="2" customWidth="1"/>
    <col min="782" max="783" width="18.7109375" style="2" bestFit="1" customWidth="1"/>
    <col min="784" max="784" width="16.5703125" style="2" customWidth="1"/>
    <col min="785" max="785" width="0.7109375" style="2" customWidth="1"/>
    <col min="786" max="787" width="19.85546875" style="2" bestFit="1" customWidth="1"/>
    <col min="788" max="788" width="18.7109375" style="2" bestFit="1" customWidth="1"/>
    <col min="789" max="789" width="14.5703125" style="2" customWidth="1"/>
    <col min="790" max="790" width="9.140625" style="2"/>
    <col min="791" max="791" width="13.140625" style="2" bestFit="1" customWidth="1"/>
    <col min="792" max="1024" width="9.140625" style="2"/>
    <col min="1025" max="1028" width="2.7109375" style="2" customWidth="1"/>
    <col min="1029" max="1029" width="50.5703125" style="2" customWidth="1"/>
    <col min="1030" max="1031" width="19.28515625" style="2" customWidth="1"/>
    <col min="1032" max="1032" width="18.5703125" style="2" customWidth="1"/>
    <col min="1033" max="1033" width="0.7109375" style="2" customWidth="1"/>
    <col min="1034" max="1034" width="24" style="2" bestFit="1" customWidth="1"/>
    <col min="1035" max="1035" width="18.7109375" style="2" bestFit="1" customWidth="1"/>
    <col min="1036" max="1036" width="19.42578125" style="2" bestFit="1" customWidth="1"/>
    <col min="1037" max="1037" width="0.5703125" style="2" customWidth="1"/>
    <col min="1038" max="1039" width="18.7109375" style="2" bestFit="1" customWidth="1"/>
    <col min="1040" max="1040" width="16.5703125" style="2" customWidth="1"/>
    <col min="1041" max="1041" width="0.7109375" style="2" customWidth="1"/>
    <col min="1042" max="1043" width="19.85546875" style="2" bestFit="1" customWidth="1"/>
    <col min="1044" max="1044" width="18.7109375" style="2" bestFit="1" customWidth="1"/>
    <col min="1045" max="1045" width="14.5703125" style="2" customWidth="1"/>
    <col min="1046" max="1046" width="9.140625" style="2"/>
    <col min="1047" max="1047" width="13.140625" style="2" bestFit="1" customWidth="1"/>
    <col min="1048" max="1280" width="9.140625" style="2"/>
    <col min="1281" max="1284" width="2.7109375" style="2" customWidth="1"/>
    <col min="1285" max="1285" width="50.5703125" style="2" customWidth="1"/>
    <col min="1286" max="1287" width="19.28515625" style="2" customWidth="1"/>
    <col min="1288" max="1288" width="18.5703125" style="2" customWidth="1"/>
    <col min="1289" max="1289" width="0.7109375" style="2" customWidth="1"/>
    <col min="1290" max="1290" width="24" style="2" bestFit="1" customWidth="1"/>
    <col min="1291" max="1291" width="18.7109375" style="2" bestFit="1" customWidth="1"/>
    <col min="1292" max="1292" width="19.42578125" style="2" bestFit="1" customWidth="1"/>
    <col min="1293" max="1293" width="0.5703125" style="2" customWidth="1"/>
    <col min="1294" max="1295" width="18.7109375" style="2" bestFit="1" customWidth="1"/>
    <col min="1296" max="1296" width="16.5703125" style="2" customWidth="1"/>
    <col min="1297" max="1297" width="0.7109375" style="2" customWidth="1"/>
    <col min="1298" max="1299" width="19.85546875" style="2" bestFit="1" customWidth="1"/>
    <col min="1300" max="1300" width="18.7109375" style="2" bestFit="1" customWidth="1"/>
    <col min="1301" max="1301" width="14.5703125" style="2" customWidth="1"/>
    <col min="1302" max="1302" width="9.140625" style="2"/>
    <col min="1303" max="1303" width="13.140625" style="2" bestFit="1" customWidth="1"/>
    <col min="1304" max="1536" width="9.140625" style="2"/>
    <col min="1537" max="1540" width="2.7109375" style="2" customWidth="1"/>
    <col min="1541" max="1541" width="50.5703125" style="2" customWidth="1"/>
    <col min="1542" max="1543" width="19.28515625" style="2" customWidth="1"/>
    <col min="1544" max="1544" width="18.5703125" style="2" customWidth="1"/>
    <col min="1545" max="1545" width="0.7109375" style="2" customWidth="1"/>
    <col min="1546" max="1546" width="24" style="2" bestFit="1" customWidth="1"/>
    <col min="1547" max="1547" width="18.7109375" style="2" bestFit="1" customWidth="1"/>
    <col min="1548" max="1548" width="19.42578125" style="2" bestFit="1" customWidth="1"/>
    <col min="1549" max="1549" width="0.5703125" style="2" customWidth="1"/>
    <col min="1550" max="1551" width="18.7109375" style="2" bestFit="1" customWidth="1"/>
    <col min="1552" max="1552" width="16.5703125" style="2" customWidth="1"/>
    <col min="1553" max="1553" width="0.7109375" style="2" customWidth="1"/>
    <col min="1554" max="1555" width="19.85546875" style="2" bestFit="1" customWidth="1"/>
    <col min="1556" max="1556" width="18.7109375" style="2" bestFit="1" customWidth="1"/>
    <col min="1557" max="1557" width="14.5703125" style="2" customWidth="1"/>
    <col min="1558" max="1558" width="9.140625" style="2"/>
    <col min="1559" max="1559" width="13.140625" style="2" bestFit="1" customWidth="1"/>
    <col min="1560" max="1792" width="9.140625" style="2"/>
    <col min="1793" max="1796" width="2.7109375" style="2" customWidth="1"/>
    <col min="1797" max="1797" width="50.5703125" style="2" customWidth="1"/>
    <col min="1798" max="1799" width="19.28515625" style="2" customWidth="1"/>
    <col min="1800" max="1800" width="18.5703125" style="2" customWidth="1"/>
    <col min="1801" max="1801" width="0.7109375" style="2" customWidth="1"/>
    <col min="1802" max="1802" width="24" style="2" bestFit="1" customWidth="1"/>
    <col min="1803" max="1803" width="18.7109375" style="2" bestFit="1" customWidth="1"/>
    <col min="1804" max="1804" width="19.42578125" style="2" bestFit="1" customWidth="1"/>
    <col min="1805" max="1805" width="0.5703125" style="2" customWidth="1"/>
    <col min="1806" max="1807" width="18.7109375" style="2" bestFit="1" customWidth="1"/>
    <col min="1808" max="1808" width="16.5703125" style="2" customWidth="1"/>
    <col min="1809" max="1809" width="0.7109375" style="2" customWidth="1"/>
    <col min="1810" max="1811" width="19.85546875" style="2" bestFit="1" customWidth="1"/>
    <col min="1812" max="1812" width="18.7109375" style="2" bestFit="1" customWidth="1"/>
    <col min="1813" max="1813" width="14.5703125" style="2" customWidth="1"/>
    <col min="1814" max="1814" width="9.140625" style="2"/>
    <col min="1815" max="1815" width="13.140625" style="2" bestFit="1" customWidth="1"/>
    <col min="1816" max="2048" width="9.140625" style="2"/>
    <col min="2049" max="2052" width="2.7109375" style="2" customWidth="1"/>
    <col min="2053" max="2053" width="50.5703125" style="2" customWidth="1"/>
    <col min="2054" max="2055" width="19.28515625" style="2" customWidth="1"/>
    <col min="2056" max="2056" width="18.5703125" style="2" customWidth="1"/>
    <col min="2057" max="2057" width="0.7109375" style="2" customWidth="1"/>
    <col min="2058" max="2058" width="24" style="2" bestFit="1" customWidth="1"/>
    <col min="2059" max="2059" width="18.7109375" style="2" bestFit="1" customWidth="1"/>
    <col min="2060" max="2060" width="19.42578125" style="2" bestFit="1" customWidth="1"/>
    <col min="2061" max="2061" width="0.5703125" style="2" customWidth="1"/>
    <col min="2062" max="2063" width="18.7109375" style="2" bestFit="1" customWidth="1"/>
    <col min="2064" max="2064" width="16.5703125" style="2" customWidth="1"/>
    <col min="2065" max="2065" width="0.7109375" style="2" customWidth="1"/>
    <col min="2066" max="2067" width="19.85546875" style="2" bestFit="1" customWidth="1"/>
    <col min="2068" max="2068" width="18.7109375" style="2" bestFit="1" customWidth="1"/>
    <col min="2069" max="2069" width="14.5703125" style="2" customWidth="1"/>
    <col min="2070" max="2070" width="9.140625" style="2"/>
    <col min="2071" max="2071" width="13.140625" style="2" bestFit="1" customWidth="1"/>
    <col min="2072" max="2304" width="9.140625" style="2"/>
    <col min="2305" max="2308" width="2.7109375" style="2" customWidth="1"/>
    <col min="2309" max="2309" width="50.5703125" style="2" customWidth="1"/>
    <col min="2310" max="2311" width="19.28515625" style="2" customWidth="1"/>
    <col min="2312" max="2312" width="18.5703125" style="2" customWidth="1"/>
    <col min="2313" max="2313" width="0.7109375" style="2" customWidth="1"/>
    <col min="2314" max="2314" width="24" style="2" bestFit="1" customWidth="1"/>
    <col min="2315" max="2315" width="18.7109375" style="2" bestFit="1" customWidth="1"/>
    <col min="2316" max="2316" width="19.42578125" style="2" bestFit="1" customWidth="1"/>
    <col min="2317" max="2317" width="0.5703125" style="2" customWidth="1"/>
    <col min="2318" max="2319" width="18.7109375" style="2" bestFit="1" customWidth="1"/>
    <col min="2320" max="2320" width="16.5703125" style="2" customWidth="1"/>
    <col min="2321" max="2321" width="0.7109375" style="2" customWidth="1"/>
    <col min="2322" max="2323" width="19.85546875" style="2" bestFit="1" customWidth="1"/>
    <col min="2324" max="2324" width="18.7109375" style="2" bestFit="1" customWidth="1"/>
    <col min="2325" max="2325" width="14.5703125" style="2" customWidth="1"/>
    <col min="2326" max="2326" width="9.140625" style="2"/>
    <col min="2327" max="2327" width="13.140625" style="2" bestFit="1" customWidth="1"/>
    <col min="2328" max="2560" width="9.140625" style="2"/>
    <col min="2561" max="2564" width="2.7109375" style="2" customWidth="1"/>
    <col min="2565" max="2565" width="50.5703125" style="2" customWidth="1"/>
    <col min="2566" max="2567" width="19.28515625" style="2" customWidth="1"/>
    <col min="2568" max="2568" width="18.5703125" style="2" customWidth="1"/>
    <col min="2569" max="2569" width="0.7109375" style="2" customWidth="1"/>
    <col min="2570" max="2570" width="24" style="2" bestFit="1" customWidth="1"/>
    <col min="2571" max="2571" width="18.7109375" style="2" bestFit="1" customWidth="1"/>
    <col min="2572" max="2572" width="19.42578125" style="2" bestFit="1" customWidth="1"/>
    <col min="2573" max="2573" width="0.5703125" style="2" customWidth="1"/>
    <col min="2574" max="2575" width="18.7109375" style="2" bestFit="1" customWidth="1"/>
    <col min="2576" max="2576" width="16.5703125" style="2" customWidth="1"/>
    <col min="2577" max="2577" width="0.7109375" style="2" customWidth="1"/>
    <col min="2578" max="2579" width="19.85546875" style="2" bestFit="1" customWidth="1"/>
    <col min="2580" max="2580" width="18.7109375" style="2" bestFit="1" customWidth="1"/>
    <col min="2581" max="2581" width="14.5703125" style="2" customWidth="1"/>
    <col min="2582" max="2582" width="9.140625" style="2"/>
    <col min="2583" max="2583" width="13.140625" style="2" bestFit="1" customWidth="1"/>
    <col min="2584" max="2816" width="9.140625" style="2"/>
    <col min="2817" max="2820" width="2.7109375" style="2" customWidth="1"/>
    <col min="2821" max="2821" width="50.5703125" style="2" customWidth="1"/>
    <col min="2822" max="2823" width="19.28515625" style="2" customWidth="1"/>
    <col min="2824" max="2824" width="18.5703125" style="2" customWidth="1"/>
    <col min="2825" max="2825" width="0.7109375" style="2" customWidth="1"/>
    <col min="2826" max="2826" width="24" style="2" bestFit="1" customWidth="1"/>
    <col min="2827" max="2827" width="18.7109375" style="2" bestFit="1" customWidth="1"/>
    <col min="2828" max="2828" width="19.42578125" style="2" bestFit="1" customWidth="1"/>
    <col min="2829" max="2829" width="0.5703125" style="2" customWidth="1"/>
    <col min="2830" max="2831" width="18.7109375" style="2" bestFit="1" customWidth="1"/>
    <col min="2832" max="2832" width="16.5703125" style="2" customWidth="1"/>
    <col min="2833" max="2833" width="0.7109375" style="2" customWidth="1"/>
    <col min="2834" max="2835" width="19.85546875" style="2" bestFit="1" customWidth="1"/>
    <col min="2836" max="2836" width="18.7109375" style="2" bestFit="1" customWidth="1"/>
    <col min="2837" max="2837" width="14.5703125" style="2" customWidth="1"/>
    <col min="2838" max="2838" width="9.140625" style="2"/>
    <col min="2839" max="2839" width="13.140625" style="2" bestFit="1" customWidth="1"/>
    <col min="2840" max="3072" width="9.140625" style="2"/>
    <col min="3073" max="3076" width="2.7109375" style="2" customWidth="1"/>
    <col min="3077" max="3077" width="50.5703125" style="2" customWidth="1"/>
    <col min="3078" max="3079" width="19.28515625" style="2" customWidth="1"/>
    <col min="3080" max="3080" width="18.5703125" style="2" customWidth="1"/>
    <col min="3081" max="3081" width="0.7109375" style="2" customWidth="1"/>
    <col min="3082" max="3082" width="24" style="2" bestFit="1" customWidth="1"/>
    <col min="3083" max="3083" width="18.7109375" style="2" bestFit="1" customWidth="1"/>
    <col min="3084" max="3084" width="19.42578125" style="2" bestFit="1" customWidth="1"/>
    <col min="3085" max="3085" width="0.5703125" style="2" customWidth="1"/>
    <col min="3086" max="3087" width="18.7109375" style="2" bestFit="1" customWidth="1"/>
    <col min="3088" max="3088" width="16.5703125" style="2" customWidth="1"/>
    <col min="3089" max="3089" width="0.7109375" style="2" customWidth="1"/>
    <col min="3090" max="3091" width="19.85546875" style="2" bestFit="1" customWidth="1"/>
    <col min="3092" max="3092" width="18.7109375" style="2" bestFit="1" customWidth="1"/>
    <col min="3093" max="3093" width="14.5703125" style="2" customWidth="1"/>
    <col min="3094" max="3094" width="9.140625" style="2"/>
    <col min="3095" max="3095" width="13.140625" style="2" bestFit="1" customWidth="1"/>
    <col min="3096" max="3328" width="9.140625" style="2"/>
    <col min="3329" max="3332" width="2.7109375" style="2" customWidth="1"/>
    <col min="3333" max="3333" width="50.5703125" style="2" customWidth="1"/>
    <col min="3334" max="3335" width="19.28515625" style="2" customWidth="1"/>
    <col min="3336" max="3336" width="18.5703125" style="2" customWidth="1"/>
    <col min="3337" max="3337" width="0.7109375" style="2" customWidth="1"/>
    <col min="3338" max="3338" width="24" style="2" bestFit="1" customWidth="1"/>
    <col min="3339" max="3339" width="18.7109375" style="2" bestFit="1" customWidth="1"/>
    <col min="3340" max="3340" width="19.42578125" style="2" bestFit="1" customWidth="1"/>
    <col min="3341" max="3341" width="0.5703125" style="2" customWidth="1"/>
    <col min="3342" max="3343" width="18.7109375" style="2" bestFit="1" customWidth="1"/>
    <col min="3344" max="3344" width="16.5703125" style="2" customWidth="1"/>
    <col min="3345" max="3345" width="0.7109375" style="2" customWidth="1"/>
    <col min="3346" max="3347" width="19.85546875" style="2" bestFit="1" customWidth="1"/>
    <col min="3348" max="3348" width="18.7109375" style="2" bestFit="1" customWidth="1"/>
    <col min="3349" max="3349" width="14.5703125" style="2" customWidth="1"/>
    <col min="3350" max="3350" width="9.140625" style="2"/>
    <col min="3351" max="3351" width="13.140625" style="2" bestFit="1" customWidth="1"/>
    <col min="3352" max="3584" width="9.140625" style="2"/>
    <col min="3585" max="3588" width="2.7109375" style="2" customWidth="1"/>
    <col min="3589" max="3589" width="50.5703125" style="2" customWidth="1"/>
    <col min="3590" max="3591" width="19.28515625" style="2" customWidth="1"/>
    <col min="3592" max="3592" width="18.5703125" style="2" customWidth="1"/>
    <col min="3593" max="3593" width="0.7109375" style="2" customWidth="1"/>
    <col min="3594" max="3594" width="24" style="2" bestFit="1" customWidth="1"/>
    <col min="3595" max="3595" width="18.7109375" style="2" bestFit="1" customWidth="1"/>
    <col min="3596" max="3596" width="19.42578125" style="2" bestFit="1" customWidth="1"/>
    <col min="3597" max="3597" width="0.5703125" style="2" customWidth="1"/>
    <col min="3598" max="3599" width="18.7109375" style="2" bestFit="1" customWidth="1"/>
    <col min="3600" max="3600" width="16.5703125" style="2" customWidth="1"/>
    <col min="3601" max="3601" width="0.7109375" style="2" customWidth="1"/>
    <col min="3602" max="3603" width="19.85546875" style="2" bestFit="1" customWidth="1"/>
    <col min="3604" max="3604" width="18.7109375" style="2" bestFit="1" customWidth="1"/>
    <col min="3605" max="3605" width="14.5703125" style="2" customWidth="1"/>
    <col min="3606" max="3606" width="9.140625" style="2"/>
    <col min="3607" max="3607" width="13.140625" style="2" bestFit="1" customWidth="1"/>
    <col min="3608" max="3840" width="9.140625" style="2"/>
    <col min="3841" max="3844" width="2.7109375" style="2" customWidth="1"/>
    <col min="3845" max="3845" width="50.5703125" style="2" customWidth="1"/>
    <col min="3846" max="3847" width="19.28515625" style="2" customWidth="1"/>
    <col min="3848" max="3848" width="18.5703125" style="2" customWidth="1"/>
    <col min="3849" max="3849" width="0.7109375" style="2" customWidth="1"/>
    <col min="3850" max="3850" width="24" style="2" bestFit="1" customWidth="1"/>
    <col min="3851" max="3851" width="18.7109375" style="2" bestFit="1" customWidth="1"/>
    <col min="3852" max="3852" width="19.42578125" style="2" bestFit="1" customWidth="1"/>
    <col min="3853" max="3853" width="0.5703125" style="2" customWidth="1"/>
    <col min="3854" max="3855" width="18.7109375" style="2" bestFit="1" customWidth="1"/>
    <col min="3856" max="3856" width="16.5703125" style="2" customWidth="1"/>
    <col min="3857" max="3857" width="0.7109375" style="2" customWidth="1"/>
    <col min="3858" max="3859" width="19.85546875" style="2" bestFit="1" customWidth="1"/>
    <col min="3860" max="3860" width="18.7109375" style="2" bestFit="1" customWidth="1"/>
    <col min="3861" max="3861" width="14.5703125" style="2" customWidth="1"/>
    <col min="3862" max="3862" width="9.140625" style="2"/>
    <col min="3863" max="3863" width="13.140625" style="2" bestFit="1" customWidth="1"/>
    <col min="3864" max="4096" width="9.140625" style="2"/>
    <col min="4097" max="4100" width="2.7109375" style="2" customWidth="1"/>
    <col min="4101" max="4101" width="50.5703125" style="2" customWidth="1"/>
    <col min="4102" max="4103" width="19.28515625" style="2" customWidth="1"/>
    <col min="4104" max="4104" width="18.5703125" style="2" customWidth="1"/>
    <col min="4105" max="4105" width="0.7109375" style="2" customWidth="1"/>
    <col min="4106" max="4106" width="24" style="2" bestFit="1" customWidth="1"/>
    <col min="4107" max="4107" width="18.7109375" style="2" bestFit="1" customWidth="1"/>
    <col min="4108" max="4108" width="19.42578125" style="2" bestFit="1" customWidth="1"/>
    <col min="4109" max="4109" width="0.5703125" style="2" customWidth="1"/>
    <col min="4110" max="4111" width="18.7109375" style="2" bestFit="1" customWidth="1"/>
    <col min="4112" max="4112" width="16.5703125" style="2" customWidth="1"/>
    <col min="4113" max="4113" width="0.7109375" style="2" customWidth="1"/>
    <col min="4114" max="4115" width="19.85546875" style="2" bestFit="1" customWidth="1"/>
    <col min="4116" max="4116" width="18.7109375" style="2" bestFit="1" customWidth="1"/>
    <col min="4117" max="4117" width="14.5703125" style="2" customWidth="1"/>
    <col min="4118" max="4118" width="9.140625" style="2"/>
    <col min="4119" max="4119" width="13.140625" style="2" bestFit="1" customWidth="1"/>
    <col min="4120" max="4352" width="9.140625" style="2"/>
    <col min="4353" max="4356" width="2.7109375" style="2" customWidth="1"/>
    <col min="4357" max="4357" width="50.5703125" style="2" customWidth="1"/>
    <col min="4358" max="4359" width="19.28515625" style="2" customWidth="1"/>
    <col min="4360" max="4360" width="18.5703125" style="2" customWidth="1"/>
    <col min="4361" max="4361" width="0.7109375" style="2" customWidth="1"/>
    <col min="4362" max="4362" width="24" style="2" bestFit="1" customWidth="1"/>
    <col min="4363" max="4363" width="18.7109375" style="2" bestFit="1" customWidth="1"/>
    <col min="4364" max="4364" width="19.42578125" style="2" bestFit="1" customWidth="1"/>
    <col min="4365" max="4365" width="0.5703125" style="2" customWidth="1"/>
    <col min="4366" max="4367" width="18.7109375" style="2" bestFit="1" customWidth="1"/>
    <col min="4368" max="4368" width="16.5703125" style="2" customWidth="1"/>
    <col min="4369" max="4369" width="0.7109375" style="2" customWidth="1"/>
    <col min="4370" max="4371" width="19.85546875" style="2" bestFit="1" customWidth="1"/>
    <col min="4372" max="4372" width="18.7109375" style="2" bestFit="1" customWidth="1"/>
    <col min="4373" max="4373" width="14.5703125" style="2" customWidth="1"/>
    <col min="4374" max="4374" width="9.140625" style="2"/>
    <col min="4375" max="4375" width="13.140625" style="2" bestFit="1" customWidth="1"/>
    <col min="4376" max="4608" width="9.140625" style="2"/>
    <col min="4609" max="4612" width="2.7109375" style="2" customWidth="1"/>
    <col min="4613" max="4613" width="50.5703125" style="2" customWidth="1"/>
    <col min="4614" max="4615" width="19.28515625" style="2" customWidth="1"/>
    <col min="4616" max="4616" width="18.5703125" style="2" customWidth="1"/>
    <col min="4617" max="4617" width="0.7109375" style="2" customWidth="1"/>
    <col min="4618" max="4618" width="24" style="2" bestFit="1" customWidth="1"/>
    <col min="4619" max="4619" width="18.7109375" style="2" bestFit="1" customWidth="1"/>
    <col min="4620" max="4620" width="19.42578125" style="2" bestFit="1" customWidth="1"/>
    <col min="4621" max="4621" width="0.5703125" style="2" customWidth="1"/>
    <col min="4622" max="4623" width="18.7109375" style="2" bestFit="1" customWidth="1"/>
    <col min="4624" max="4624" width="16.5703125" style="2" customWidth="1"/>
    <col min="4625" max="4625" width="0.7109375" style="2" customWidth="1"/>
    <col min="4626" max="4627" width="19.85546875" style="2" bestFit="1" customWidth="1"/>
    <col min="4628" max="4628" width="18.7109375" style="2" bestFit="1" customWidth="1"/>
    <col min="4629" max="4629" width="14.5703125" style="2" customWidth="1"/>
    <col min="4630" max="4630" width="9.140625" style="2"/>
    <col min="4631" max="4631" width="13.140625" style="2" bestFit="1" customWidth="1"/>
    <col min="4632" max="4864" width="9.140625" style="2"/>
    <col min="4865" max="4868" width="2.7109375" style="2" customWidth="1"/>
    <col min="4869" max="4869" width="50.5703125" style="2" customWidth="1"/>
    <col min="4870" max="4871" width="19.28515625" style="2" customWidth="1"/>
    <col min="4872" max="4872" width="18.5703125" style="2" customWidth="1"/>
    <col min="4873" max="4873" width="0.7109375" style="2" customWidth="1"/>
    <col min="4874" max="4874" width="24" style="2" bestFit="1" customWidth="1"/>
    <col min="4875" max="4875" width="18.7109375" style="2" bestFit="1" customWidth="1"/>
    <col min="4876" max="4876" width="19.42578125" style="2" bestFit="1" customWidth="1"/>
    <col min="4877" max="4877" width="0.5703125" style="2" customWidth="1"/>
    <col min="4878" max="4879" width="18.7109375" style="2" bestFit="1" customWidth="1"/>
    <col min="4880" max="4880" width="16.5703125" style="2" customWidth="1"/>
    <col min="4881" max="4881" width="0.7109375" style="2" customWidth="1"/>
    <col min="4882" max="4883" width="19.85546875" style="2" bestFit="1" customWidth="1"/>
    <col min="4884" max="4884" width="18.7109375" style="2" bestFit="1" customWidth="1"/>
    <col min="4885" max="4885" width="14.5703125" style="2" customWidth="1"/>
    <col min="4886" max="4886" width="9.140625" style="2"/>
    <col min="4887" max="4887" width="13.140625" style="2" bestFit="1" customWidth="1"/>
    <col min="4888" max="5120" width="9.140625" style="2"/>
    <col min="5121" max="5124" width="2.7109375" style="2" customWidth="1"/>
    <col min="5125" max="5125" width="50.5703125" style="2" customWidth="1"/>
    <col min="5126" max="5127" width="19.28515625" style="2" customWidth="1"/>
    <col min="5128" max="5128" width="18.5703125" style="2" customWidth="1"/>
    <col min="5129" max="5129" width="0.7109375" style="2" customWidth="1"/>
    <col min="5130" max="5130" width="24" style="2" bestFit="1" customWidth="1"/>
    <col min="5131" max="5131" width="18.7109375" style="2" bestFit="1" customWidth="1"/>
    <col min="5132" max="5132" width="19.42578125" style="2" bestFit="1" customWidth="1"/>
    <col min="5133" max="5133" width="0.5703125" style="2" customWidth="1"/>
    <col min="5134" max="5135" width="18.7109375" style="2" bestFit="1" customWidth="1"/>
    <col min="5136" max="5136" width="16.5703125" style="2" customWidth="1"/>
    <col min="5137" max="5137" width="0.7109375" style="2" customWidth="1"/>
    <col min="5138" max="5139" width="19.85546875" style="2" bestFit="1" customWidth="1"/>
    <col min="5140" max="5140" width="18.7109375" style="2" bestFit="1" customWidth="1"/>
    <col min="5141" max="5141" width="14.5703125" style="2" customWidth="1"/>
    <col min="5142" max="5142" width="9.140625" style="2"/>
    <col min="5143" max="5143" width="13.140625" style="2" bestFit="1" customWidth="1"/>
    <col min="5144" max="5376" width="9.140625" style="2"/>
    <col min="5377" max="5380" width="2.7109375" style="2" customWidth="1"/>
    <col min="5381" max="5381" width="50.5703125" style="2" customWidth="1"/>
    <col min="5382" max="5383" width="19.28515625" style="2" customWidth="1"/>
    <col min="5384" max="5384" width="18.5703125" style="2" customWidth="1"/>
    <col min="5385" max="5385" width="0.7109375" style="2" customWidth="1"/>
    <col min="5386" max="5386" width="24" style="2" bestFit="1" customWidth="1"/>
    <col min="5387" max="5387" width="18.7109375" style="2" bestFit="1" customWidth="1"/>
    <col min="5388" max="5388" width="19.42578125" style="2" bestFit="1" customWidth="1"/>
    <col min="5389" max="5389" width="0.5703125" style="2" customWidth="1"/>
    <col min="5390" max="5391" width="18.7109375" style="2" bestFit="1" customWidth="1"/>
    <col min="5392" max="5392" width="16.5703125" style="2" customWidth="1"/>
    <col min="5393" max="5393" width="0.7109375" style="2" customWidth="1"/>
    <col min="5394" max="5395" width="19.85546875" style="2" bestFit="1" customWidth="1"/>
    <col min="5396" max="5396" width="18.7109375" style="2" bestFit="1" customWidth="1"/>
    <col min="5397" max="5397" width="14.5703125" style="2" customWidth="1"/>
    <col min="5398" max="5398" width="9.140625" style="2"/>
    <col min="5399" max="5399" width="13.140625" style="2" bestFit="1" customWidth="1"/>
    <col min="5400" max="5632" width="9.140625" style="2"/>
    <col min="5633" max="5636" width="2.7109375" style="2" customWidth="1"/>
    <col min="5637" max="5637" width="50.5703125" style="2" customWidth="1"/>
    <col min="5638" max="5639" width="19.28515625" style="2" customWidth="1"/>
    <col min="5640" max="5640" width="18.5703125" style="2" customWidth="1"/>
    <col min="5641" max="5641" width="0.7109375" style="2" customWidth="1"/>
    <col min="5642" max="5642" width="24" style="2" bestFit="1" customWidth="1"/>
    <col min="5643" max="5643" width="18.7109375" style="2" bestFit="1" customWidth="1"/>
    <col min="5644" max="5644" width="19.42578125" style="2" bestFit="1" customWidth="1"/>
    <col min="5645" max="5645" width="0.5703125" style="2" customWidth="1"/>
    <col min="5646" max="5647" width="18.7109375" style="2" bestFit="1" customWidth="1"/>
    <col min="5648" max="5648" width="16.5703125" style="2" customWidth="1"/>
    <col min="5649" max="5649" width="0.7109375" style="2" customWidth="1"/>
    <col min="5650" max="5651" width="19.85546875" style="2" bestFit="1" customWidth="1"/>
    <col min="5652" max="5652" width="18.7109375" style="2" bestFit="1" customWidth="1"/>
    <col min="5653" max="5653" width="14.5703125" style="2" customWidth="1"/>
    <col min="5654" max="5654" width="9.140625" style="2"/>
    <col min="5655" max="5655" width="13.140625" style="2" bestFit="1" customWidth="1"/>
    <col min="5656" max="5888" width="9.140625" style="2"/>
    <col min="5889" max="5892" width="2.7109375" style="2" customWidth="1"/>
    <col min="5893" max="5893" width="50.5703125" style="2" customWidth="1"/>
    <col min="5894" max="5895" width="19.28515625" style="2" customWidth="1"/>
    <col min="5896" max="5896" width="18.5703125" style="2" customWidth="1"/>
    <col min="5897" max="5897" width="0.7109375" style="2" customWidth="1"/>
    <col min="5898" max="5898" width="24" style="2" bestFit="1" customWidth="1"/>
    <col min="5899" max="5899" width="18.7109375" style="2" bestFit="1" customWidth="1"/>
    <col min="5900" max="5900" width="19.42578125" style="2" bestFit="1" customWidth="1"/>
    <col min="5901" max="5901" width="0.5703125" style="2" customWidth="1"/>
    <col min="5902" max="5903" width="18.7109375" style="2" bestFit="1" customWidth="1"/>
    <col min="5904" max="5904" width="16.5703125" style="2" customWidth="1"/>
    <col min="5905" max="5905" width="0.7109375" style="2" customWidth="1"/>
    <col min="5906" max="5907" width="19.85546875" style="2" bestFit="1" customWidth="1"/>
    <col min="5908" max="5908" width="18.7109375" style="2" bestFit="1" customWidth="1"/>
    <col min="5909" max="5909" width="14.5703125" style="2" customWidth="1"/>
    <col min="5910" max="5910" width="9.140625" style="2"/>
    <col min="5911" max="5911" width="13.140625" style="2" bestFit="1" customWidth="1"/>
    <col min="5912" max="6144" width="9.140625" style="2"/>
    <col min="6145" max="6148" width="2.7109375" style="2" customWidth="1"/>
    <col min="6149" max="6149" width="50.5703125" style="2" customWidth="1"/>
    <col min="6150" max="6151" width="19.28515625" style="2" customWidth="1"/>
    <col min="6152" max="6152" width="18.5703125" style="2" customWidth="1"/>
    <col min="6153" max="6153" width="0.7109375" style="2" customWidth="1"/>
    <col min="6154" max="6154" width="24" style="2" bestFit="1" customWidth="1"/>
    <col min="6155" max="6155" width="18.7109375" style="2" bestFit="1" customWidth="1"/>
    <col min="6156" max="6156" width="19.42578125" style="2" bestFit="1" customWidth="1"/>
    <col min="6157" max="6157" width="0.5703125" style="2" customWidth="1"/>
    <col min="6158" max="6159" width="18.7109375" style="2" bestFit="1" customWidth="1"/>
    <col min="6160" max="6160" width="16.5703125" style="2" customWidth="1"/>
    <col min="6161" max="6161" width="0.7109375" style="2" customWidth="1"/>
    <col min="6162" max="6163" width="19.85546875" style="2" bestFit="1" customWidth="1"/>
    <col min="6164" max="6164" width="18.7109375" style="2" bestFit="1" customWidth="1"/>
    <col min="6165" max="6165" width="14.5703125" style="2" customWidth="1"/>
    <col min="6166" max="6166" width="9.140625" style="2"/>
    <col min="6167" max="6167" width="13.140625" style="2" bestFit="1" customWidth="1"/>
    <col min="6168" max="6400" width="9.140625" style="2"/>
    <col min="6401" max="6404" width="2.7109375" style="2" customWidth="1"/>
    <col min="6405" max="6405" width="50.5703125" style="2" customWidth="1"/>
    <col min="6406" max="6407" width="19.28515625" style="2" customWidth="1"/>
    <col min="6408" max="6408" width="18.5703125" style="2" customWidth="1"/>
    <col min="6409" max="6409" width="0.7109375" style="2" customWidth="1"/>
    <col min="6410" max="6410" width="24" style="2" bestFit="1" customWidth="1"/>
    <col min="6411" max="6411" width="18.7109375" style="2" bestFit="1" customWidth="1"/>
    <col min="6412" max="6412" width="19.42578125" style="2" bestFit="1" customWidth="1"/>
    <col min="6413" max="6413" width="0.5703125" style="2" customWidth="1"/>
    <col min="6414" max="6415" width="18.7109375" style="2" bestFit="1" customWidth="1"/>
    <col min="6416" max="6416" width="16.5703125" style="2" customWidth="1"/>
    <col min="6417" max="6417" width="0.7109375" style="2" customWidth="1"/>
    <col min="6418" max="6419" width="19.85546875" style="2" bestFit="1" customWidth="1"/>
    <col min="6420" max="6420" width="18.7109375" style="2" bestFit="1" customWidth="1"/>
    <col min="6421" max="6421" width="14.5703125" style="2" customWidth="1"/>
    <col min="6422" max="6422" width="9.140625" style="2"/>
    <col min="6423" max="6423" width="13.140625" style="2" bestFit="1" customWidth="1"/>
    <col min="6424" max="6656" width="9.140625" style="2"/>
    <col min="6657" max="6660" width="2.7109375" style="2" customWidth="1"/>
    <col min="6661" max="6661" width="50.5703125" style="2" customWidth="1"/>
    <col min="6662" max="6663" width="19.28515625" style="2" customWidth="1"/>
    <col min="6664" max="6664" width="18.5703125" style="2" customWidth="1"/>
    <col min="6665" max="6665" width="0.7109375" style="2" customWidth="1"/>
    <col min="6666" max="6666" width="24" style="2" bestFit="1" customWidth="1"/>
    <col min="6667" max="6667" width="18.7109375" style="2" bestFit="1" customWidth="1"/>
    <col min="6668" max="6668" width="19.42578125" style="2" bestFit="1" customWidth="1"/>
    <col min="6669" max="6669" width="0.5703125" style="2" customWidth="1"/>
    <col min="6670" max="6671" width="18.7109375" style="2" bestFit="1" customWidth="1"/>
    <col min="6672" max="6672" width="16.5703125" style="2" customWidth="1"/>
    <col min="6673" max="6673" width="0.7109375" style="2" customWidth="1"/>
    <col min="6674" max="6675" width="19.85546875" style="2" bestFit="1" customWidth="1"/>
    <col min="6676" max="6676" width="18.7109375" style="2" bestFit="1" customWidth="1"/>
    <col min="6677" max="6677" width="14.5703125" style="2" customWidth="1"/>
    <col min="6678" max="6678" width="9.140625" style="2"/>
    <col min="6679" max="6679" width="13.140625" style="2" bestFit="1" customWidth="1"/>
    <col min="6680" max="6912" width="9.140625" style="2"/>
    <col min="6913" max="6916" width="2.7109375" style="2" customWidth="1"/>
    <col min="6917" max="6917" width="50.5703125" style="2" customWidth="1"/>
    <col min="6918" max="6919" width="19.28515625" style="2" customWidth="1"/>
    <col min="6920" max="6920" width="18.5703125" style="2" customWidth="1"/>
    <col min="6921" max="6921" width="0.7109375" style="2" customWidth="1"/>
    <col min="6922" max="6922" width="24" style="2" bestFit="1" customWidth="1"/>
    <col min="6923" max="6923" width="18.7109375" style="2" bestFit="1" customWidth="1"/>
    <col min="6924" max="6924" width="19.42578125" style="2" bestFit="1" customWidth="1"/>
    <col min="6925" max="6925" width="0.5703125" style="2" customWidth="1"/>
    <col min="6926" max="6927" width="18.7109375" style="2" bestFit="1" customWidth="1"/>
    <col min="6928" max="6928" width="16.5703125" style="2" customWidth="1"/>
    <col min="6929" max="6929" width="0.7109375" style="2" customWidth="1"/>
    <col min="6930" max="6931" width="19.85546875" style="2" bestFit="1" customWidth="1"/>
    <col min="6932" max="6932" width="18.7109375" style="2" bestFit="1" customWidth="1"/>
    <col min="6933" max="6933" width="14.5703125" style="2" customWidth="1"/>
    <col min="6934" max="6934" width="9.140625" style="2"/>
    <col min="6935" max="6935" width="13.140625" style="2" bestFit="1" customWidth="1"/>
    <col min="6936" max="7168" width="9.140625" style="2"/>
    <col min="7169" max="7172" width="2.7109375" style="2" customWidth="1"/>
    <col min="7173" max="7173" width="50.5703125" style="2" customWidth="1"/>
    <col min="7174" max="7175" width="19.28515625" style="2" customWidth="1"/>
    <col min="7176" max="7176" width="18.5703125" style="2" customWidth="1"/>
    <col min="7177" max="7177" width="0.7109375" style="2" customWidth="1"/>
    <col min="7178" max="7178" width="24" style="2" bestFit="1" customWidth="1"/>
    <col min="7179" max="7179" width="18.7109375" style="2" bestFit="1" customWidth="1"/>
    <col min="7180" max="7180" width="19.42578125" style="2" bestFit="1" customWidth="1"/>
    <col min="7181" max="7181" width="0.5703125" style="2" customWidth="1"/>
    <col min="7182" max="7183" width="18.7109375" style="2" bestFit="1" customWidth="1"/>
    <col min="7184" max="7184" width="16.5703125" style="2" customWidth="1"/>
    <col min="7185" max="7185" width="0.7109375" style="2" customWidth="1"/>
    <col min="7186" max="7187" width="19.85546875" style="2" bestFit="1" customWidth="1"/>
    <col min="7188" max="7188" width="18.7109375" style="2" bestFit="1" customWidth="1"/>
    <col min="7189" max="7189" width="14.5703125" style="2" customWidth="1"/>
    <col min="7190" max="7190" width="9.140625" style="2"/>
    <col min="7191" max="7191" width="13.140625" style="2" bestFit="1" customWidth="1"/>
    <col min="7192" max="7424" width="9.140625" style="2"/>
    <col min="7425" max="7428" width="2.7109375" style="2" customWidth="1"/>
    <col min="7429" max="7429" width="50.5703125" style="2" customWidth="1"/>
    <col min="7430" max="7431" width="19.28515625" style="2" customWidth="1"/>
    <col min="7432" max="7432" width="18.5703125" style="2" customWidth="1"/>
    <col min="7433" max="7433" width="0.7109375" style="2" customWidth="1"/>
    <col min="7434" max="7434" width="24" style="2" bestFit="1" customWidth="1"/>
    <col min="7435" max="7435" width="18.7109375" style="2" bestFit="1" customWidth="1"/>
    <col min="7436" max="7436" width="19.42578125" style="2" bestFit="1" customWidth="1"/>
    <col min="7437" max="7437" width="0.5703125" style="2" customWidth="1"/>
    <col min="7438" max="7439" width="18.7109375" style="2" bestFit="1" customWidth="1"/>
    <col min="7440" max="7440" width="16.5703125" style="2" customWidth="1"/>
    <col min="7441" max="7441" width="0.7109375" style="2" customWidth="1"/>
    <col min="7442" max="7443" width="19.85546875" style="2" bestFit="1" customWidth="1"/>
    <col min="7444" max="7444" width="18.7109375" style="2" bestFit="1" customWidth="1"/>
    <col min="7445" max="7445" width="14.5703125" style="2" customWidth="1"/>
    <col min="7446" max="7446" width="9.140625" style="2"/>
    <col min="7447" max="7447" width="13.140625" style="2" bestFit="1" customWidth="1"/>
    <col min="7448" max="7680" width="9.140625" style="2"/>
    <col min="7681" max="7684" width="2.7109375" style="2" customWidth="1"/>
    <col min="7685" max="7685" width="50.5703125" style="2" customWidth="1"/>
    <col min="7686" max="7687" width="19.28515625" style="2" customWidth="1"/>
    <col min="7688" max="7688" width="18.5703125" style="2" customWidth="1"/>
    <col min="7689" max="7689" width="0.7109375" style="2" customWidth="1"/>
    <col min="7690" max="7690" width="24" style="2" bestFit="1" customWidth="1"/>
    <col min="7691" max="7691" width="18.7109375" style="2" bestFit="1" customWidth="1"/>
    <col min="7692" max="7692" width="19.42578125" style="2" bestFit="1" customWidth="1"/>
    <col min="7693" max="7693" width="0.5703125" style="2" customWidth="1"/>
    <col min="7694" max="7695" width="18.7109375" style="2" bestFit="1" customWidth="1"/>
    <col min="7696" max="7696" width="16.5703125" style="2" customWidth="1"/>
    <col min="7697" max="7697" width="0.7109375" style="2" customWidth="1"/>
    <col min="7698" max="7699" width="19.85546875" style="2" bestFit="1" customWidth="1"/>
    <col min="7700" max="7700" width="18.7109375" style="2" bestFit="1" customWidth="1"/>
    <col min="7701" max="7701" width="14.5703125" style="2" customWidth="1"/>
    <col min="7702" max="7702" width="9.140625" style="2"/>
    <col min="7703" max="7703" width="13.140625" style="2" bestFit="1" customWidth="1"/>
    <col min="7704" max="7936" width="9.140625" style="2"/>
    <col min="7937" max="7940" width="2.7109375" style="2" customWidth="1"/>
    <col min="7941" max="7941" width="50.5703125" style="2" customWidth="1"/>
    <col min="7942" max="7943" width="19.28515625" style="2" customWidth="1"/>
    <col min="7944" max="7944" width="18.5703125" style="2" customWidth="1"/>
    <col min="7945" max="7945" width="0.7109375" style="2" customWidth="1"/>
    <col min="7946" max="7946" width="24" style="2" bestFit="1" customWidth="1"/>
    <col min="7947" max="7947" width="18.7109375" style="2" bestFit="1" customWidth="1"/>
    <col min="7948" max="7948" width="19.42578125" style="2" bestFit="1" customWidth="1"/>
    <col min="7949" max="7949" width="0.5703125" style="2" customWidth="1"/>
    <col min="7950" max="7951" width="18.7109375" style="2" bestFit="1" customWidth="1"/>
    <col min="7952" max="7952" width="16.5703125" style="2" customWidth="1"/>
    <col min="7953" max="7953" width="0.7109375" style="2" customWidth="1"/>
    <col min="7954" max="7955" width="19.85546875" style="2" bestFit="1" customWidth="1"/>
    <col min="7956" max="7956" width="18.7109375" style="2" bestFit="1" customWidth="1"/>
    <col min="7957" max="7957" width="14.5703125" style="2" customWidth="1"/>
    <col min="7958" max="7958" width="9.140625" style="2"/>
    <col min="7959" max="7959" width="13.140625" style="2" bestFit="1" customWidth="1"/>
    <col min="7960" max="8192" width="9.140625" style="2"/>
    <col min="8193" max="8196" width="2.7109375" style="2" customWidth="1"/>
    <col min="8197" max="8197" width="50.5703125" style="2" customWidth="1"/>
    <col min="8198" max="8199" width="19.28515625" style="2" customWidth="1"/>
    <col min="8200" max="8200" width="18.5703125" style="2" customWidth="1"/>
    <col min="8201" max="8201" width="0.7109375" style="2" customWidth="1"/>
    <col min="8202" max="8202" width="24" style="2" bestFit="1" customWidth="1"/>
    <col min="8203" max="8203" width="18.7109375" style="2" bestFit="1" customWidth="1"/>
    <col min="8204" max="8204" width="19.42578125" style="2" bestFit="1" customWidth="1"/>
    <col min="8205" max="8205" width="0.5703125" style="2" customWidth="1"/>
    <col min="8206" max="8207" width="18.7109375" style="2" bestFit="1" customWidth="1"/>
    <col min="8208" max="8208" width="16.5703125" style="2" customWidth="1"/>
    <col min="8209" max="8209" width="0.7109375" style="2" customWidth="1"/>
    <col min="8210" max="8211" width="19.85546875" style="2" bestFit="1" customWidth="1"/>
    <col min="8212" max="8212" width="18.7109375" style="2" bestFit="1" customWidth="1"/>
    <col min="8213" max="8213" width="14.5703125" style="2" customWidth="1"/>
    <col min="8214" max="8214" width="9.140625" style="2"/>
    <col min="8215" max="8215" width="13.140625" style="2" bestFit="1" customWidth="1"/>
    <col min="8216" max="8448" width="9.140625" style="2"/>
    <col min="8449" max="8452" width="2.7109375" style="2" customWidth="1"/>
    <col min="8453" max="8453" width="50.5703125" style="2" customWidth="1"/>
    <col min="8454" max="8455" width="19.28515625" style="2" customWidth="1"/>
    <col min="8456" max="8456" width="18.5703125" style="2" customWidth="1"/>
    <col min="8457" max="8457" width="0.7109375" style="2" customWidth="1"/>
    <col min="8458" max="8458" width="24" style="2" bestFit="1" customWidth="1"/>
    <col min="8459" max="8459" width="18.7109375" style="2" bestFit="1" customWidth="1"/>
    <col min="8460" max="8460" width="19.42578125" style="2" bestFit="1" customWidth="1"/>
    <col min="8461" max="8461" width="0.5703125" style="2" customWidth="1"/>
    <col min="8462" max="8463" width="18.7109375" style="2" bestFit="1" customWidth="1"/>
    <col min="8464" max="8464" width="16.5703125" style="2" customWidth="1"/>
    <col min="8465" max="8465" width="0.7109375" style="2" customWidth="1"/>
    <col min="8466" max="8467" width="19.85546875" style="2" bestFit="1" customWidth="1"/>
    <col min="8468" max="8468" width="18.7109375" style="2" bestFit="1" customWidth="1"/>
    <col min="8469" max="8469" width="14.5703125" style="2" customWidth="1"/>
    <col min="8470" max="8470" width="9.140625" style="2"/>
    <col min="8471" max="8471" width="13.140625" style="2" bestFit="1" customWidth="1"/>
    <col min="8472" max="8704" width="9.140625" style="2"/>
    <col min="8705" max="8708" width="2.7109375" style="2" customWidth="1"/>
    <col min="8709" max="8709" width="50.5703125" style="2" customWidth="1"/>
    <col min="8710" max="8711" width="19.28515625" style="2" customWidth="1"/>
    <col min="8712" max="8712" width="18.5703125" style="2" customWidth="1"/>
    <col min="8713" max="8713" width="0.7109375" style="2" customWidth="1"/>
    <col min="8714" max="8714" width="24" style="2" bestFit="1" customWidth="1"/>
    <col min="8715" max="8715" width="18.7109375" style="2" bestFit="1" customWidth="1"/>
    <col min="8716" max="8716" width="19.42578125" style="2" bestFit="1" customWidth="1"/>
    <col min="8717" max="8717" width="0.5703125" style="2" customWidth="1"/>
    <col min="8718" max="8719" width="18.7109375" style="2" bestFit="1" customWidth="1"/>
    <col min="8720" max="8720" width="16.5703125" style="2" customWidth="1"/>
    <col min="8721" max="8721" width="0.7109375" style="2" customWidth="1"/>
    <col min="8722" max="8723" width="19.85546875" style="2" bestFit="1" customWidth="1"/>
    <col min="8724" max="8724" width="18.7109375" style="2" bestFit="1" customWidth="1"/>
    <col min="8725" max="8725" width="14.5703125" style="2" customWidth="1"/>
    <col min="8726" max="8726" width="9.140625" style="2"/>
    <col min="8727" max="8727" width="13.140625" style="2" bestFit="1" customWidth="1"/>
    <col min="8728" max="8960" width="9.140625" style="2"/>
    <col min="8961" max="8964" width="2.7109375" style="2" customWidth="1"/>
    <col min="8965" max="8965" width="50.5703125" style="2" customWidth="1"/>
    <col min="8966" max="8967" width="19.28515625" style="2" customWidth="1"/>
    <col min="8968" max="8968" width="18.5703125" style="2" customWidth="1"/>
    <col min="8969" max="8969" width="0.7109375" style="2" customWidth="1"/>
    <col min="8970" max="8970" width="24" style="2" bestFit="1" customWidth="1"/>
    <col min="8971" max="8971" width="18.7109375" style="2" bestFit="1" customWidth="1"/>
    <col min="8972" max="8972" width="19.42578125" style="2" bestFit="1" customWidth="1"/>
    <col min="8973" max="8973" width="0.5703125" style="2" customWidth="1"/>
    <col min="8974" max="8975" width="18.7109375" style="2" bestFit="1" customWidth="1"/>
    <col min="8976" max="8976" width="16.5703125" style="2" customWidth="1"/>
    <col min="8977" max="8977" width="0.7109375" style="2" customWidth="1"/>
    <col min="8978" max="8979" width="19.85546875" style="2" bestFit="1" customWidth="1"/>
    <col min="8980" max="8980" width="18.7109375" style="2" bestFit="1" customWidth="1"/>
    <col min="8981" max="8981" width="14.5703125" style="2" customWidth="1"/>
    <col min="8982" max="8982" width="9.140625" style="2"/>
    <col min="8983" max="8983" width="13.140625" style="2" bestFit="1" customWidth="1"/>
    <col min="8984" max="9216" width="9.140625" style="2"/>
    <col min="9217" max="9220" width="2.7109375" style="2" customWidth="1"/>
    <col min="9221" max="9221" width="50.5703125" style="2" customWidth="1"/>
    <col min="9222" max="9223" width="19.28515625" style="2" customWidth="1"/>
    <col min="9224" max="9224" width="18.5703125" style="2" customWidth="1"/>
    <col min="9225" max="9225" width="0.7109375" style="2" customWidth="1"/>
    <col min="9226" max="9226" width="24" style="2" bestFit="1" customWidth="1"/>
    <col min="9227" max="9227" width="18.7109375" style="2" bestFit="1" customWidth="1"/>
    <col min="9228" max="9228" width="19.42578125" style="2" bestFit="1" customWidth="1"/>
    <col min="9229" max="9229" width="0.5703125" style="2" customWidth="1"/>
    <col min="9230" max="9231" width="18.7109375" style="2" bestFit="1" customWidth="1"/>
    <col min="9232" max="9232" width="16.5703125" style="2" customWidth="1"/>
    <col min="9233" max="9233" width="0.7109375" style="2" customWidth="1"/>
    <col min="9234" max="9235" width="19.85546875" style="2" bestFit="1" customWidth="1"/>
    <col min="9236" max="9236" width="18.7109375" style="2" bestFit="1" customWidth="1"/>
    <col min="9237" max="9237" width="14.5703125" style="2" customWidth="1"/>
    <col min="9238" max="9238" width="9.140625" style="2"/>
    <col min="9239" max="9239" width="13.140625" style="2" bestFit="1" customWidth="1"/>
    <col min="9240" max="9472" width="9.140625" style="2"/>
    <col min="9473" max="9476" width="2.7109375" style="2" customWidth="1"/>
    <col min="9477" max="9477" width="50.5703125" style="2" customWidth="1"/>
    <col min="9478" max="9479" width="19.28515625" style="2" customWidth="1"/>
    <col min="9480" max="9480" width="18.5703125" style="2" customWidth="1"/>
    <col min="9481" max="9481" width="0.7109375" style="2" customWidth="1"/>
    <col min="9482" max="9482" width="24" style="2" bestFit="1" customWidth="1"/>
    <col min="9483" max="9483" width="18.7109375" style="2" bestFit="1" customWidth="1"/>
    <col min="9484" max="9484" width="19.42578125" style="2" bestFit="1" customWidth="1"/>
    <col min="9485" max="9485" width="0.5703125" style="2" customWidth="1"/>
    <col min="9486" max="9487" width="18.7109375" style="2" bestFit="1" customWidth="1"/>
    <col min="9488" max="9488" width="16.5703125" style="2" customWidth="1"/>
    <col min="9489" max="9489" width="0.7109375" style="2" customWidth="1"/>
    <col min="9490" max="9491" width="19.85546875" style="2" bestFit="1" customWidth="1"/>
    <col min="9492" max="9492" width="18.7109375" style="2" bestFit="1" customWidth="1"/>
    <col min="9493" max="9493" width="14.5703125" style="2" customWidth="1"/>
    <col min="9494" max="9494" width="9.140625" style="2"/>
    <col min="9495" max="9495" width="13.140625" style="2" bestFit="1" customWidth="1"/>
    <col min="9496" max="9728" width="9.140625" style="2"/>
    <col min="9729" max="9732" width="2.7109375" style="2" customWidth="1"/>
    <col min="9733" max="9733" width="50.5703125" style="2" customWidth="1"/>
    <col min="9734" max="9735" width="19.28515625" style="2" customWidth="1"/>
    <col min="9736" max="9736" width="18.5703125" style="2" customWidth="1"/>
    <col min="9737" max="9737" width="0.7109375" style="2" customWidth="1"/>
    <col min="9738" max="9738" width="24" style="2" bestFit="1" customWidth="1"/>
    <col min="9739" max="9739" width="18.7109375" style="2" bestFit="1" customWidth="1"/>
    <col min="9740" max="9740" width="19.42578125" style="2" bestFit="1" customWidth="1"/>
    <col min="9741" max="9741" width="0.5703125" style="2" customWidth="1"/>
    <col min="9742" max="9743" width="18.7109375" style="2" bestFit="1" customWidth="1"/>
    <col min="9744" max="9744" width="16.5703125" style="2" customWidth="1"/>
    <col min="9745" max="9745" width="0.7109375" style="2" customWidth="1"/>
    <col min="9746" max="9747" width="19.85546875" style="2" bestFit="1" customWidth="1"/>
    <col min="9748" max="9748" width="18.7109375" style="2" bestFit="1" customWidth="1"/>
    <col min="9749" max="9749" width="14.5703125" style="2" customWidth="1"/>
    <col min="9750" max="9750" width="9.140625" style="2"/>
    <col min="9751" max="9751" width="13.140625" style="2" bestFit="1" customWidth="1"/>
    <col min="9752" max="9984" width="9.140625" style="2"/>
    <col min="9985" max="9988" width="2.7109375" style="2" customWidth="1"/>
    <col min="9989" max="9989" width="50.5703125" style="2" customWidth="1"/>
    <col min="9990" max="9991" width="19.28515625" style="2" customWidth="1"/>
    <col min="9992" max="9992" width="18.5703125" style="2" customWidth="1"/>
    <col min="9993" max="9993" width="0.7109375" style="2" customWidth="1"/>
    <col min="9994" max="9994" width="24" style="2" bestFit="1" customWidth="1"/>
    <col min="9995" max="9995" width="18.7109375" style="2" bestFit="1" customWidth="1"/>
    <col min="9996" max="9996" width="19.42578125" style="2" bestFit="1" customWidth="1"/>
    <col min="9997" max="9997" width="0.5703125" style="2" customWidth="1"/>
    <col min="9998" max="9999" width="18.7109375" style="2" bestFit="1" customWidth="1"/>
    <col min="10000" max="10000" width="16.5703125" style="2" customWidth="1"/>
    <col min="10001" max="10001" width="0.7109375" style="2" customWidth="1"/>
    <col min="10002" max="10003" width="19.85546875" style="2" bestFit="1" customWidth="1"/>
    <col min="10004" max="10004" width="18.7109375" style="2" bestFit="1" customWidth="1"/>
    <col min="10005" max="10005" width="14.5703125" style="2" customWidth="1"/>
    <col min="10006" max="10006" width="9.140625" style="2"/>
    <col min="10007" max="10007" width="13.140625" style="2" bestFit="1" customWidth="1"/>
    <col min="10008" max="10240" width="9.140625" style="2"/>
    <col min="10241" max="10244" width="2.7109375" style="2" customWidth="1"/>
    <col min="10245" max="10245" width="50.5703125" style="2" customWidth="1"/>
    <col min="10246" max="10247" width="19.28515625" style="2" customWidth="1"/>
    <col min="10248" max="10248" width="18.5703125" style="2" customWidth="1"/>
    <col min="10249" max="10249" width="0.7109375" style="2" customWidth="1"/>
    <col min="10250" max="10250" width="24" style="2" bestFit="1" customWidth="1"/>
    <col min="10251" max="10251" width="18.7109375" style="2" bestFit="1" customWidth="1"/>
    <col min="10252" max="10252" width="19.42578125" style="2" bestFit="1" customWidth="1"/>
    <col min="10253" max="10253" width="0.5703125" style="2" customWidth="1"/>
    <col min="10254" max="10255" width="18.7109375" style="2" bestFit="1" customWidth="1"/>
    <col min="10256" max="10256" width="16.5703125" style="2" customWidth="1"/>
    <col min="10257" max="10257" width="0.7109375" style="2" customWidth="1"/>
    <col min="10258" max="10259" width="19.85546875" style="2" bestFit="1" customWidth="1"/>
    <col min="10260" max="10260" width="18.7109375" style="2" bestFit="1" customWidth="1"/>
    <col min="10261" max="10261" width="14.5703125" style="2" customWidth="1"/>
    <col min="10262" max="10262" width="9.140625" style="2"/>
    <col min="10263" max="10263" width="13.140625" style="2" bestFit="1" customWidth="1"/>
    <col min="10264" max="10496" width="9.140625" style="2"/>
    <col min="10497" max="10500" width="2.7109375" style="2" customWidth="1"/>
    <col min="10501" max="10501" width="50.5703125" style="2" customWidth="1"/>
    <col min="10502" max="10503" width="19.28515625" style="2" customWidth="1"/>
    <col min="10504" max="10504" width="18.5703125" style="2" customWidth="1"/>
    <col min="10505" max="10505" width="0.7109375" style="2" customWidth="1"/>
    <col min="10506" max="10506" width="24" style="2" bestFit="1" customWidth="1"/>
    <col min="10507" max="10507" width="18.7109375" style="2" bestFit="1" customWidth="1"/>
    <col min="10508" max="10508" width="19.42578125" style="2" bestFit="1" customWidth="1"/>
    <col min="10509" max="10509" width="0.5703125" style="2" customWidth="1"/>
    <col min="10510" max="10511" width="18.7109375" style="2" bestFit="1" customWidth="1"/>
    <col min="10512" max="10512" width="16.5703125" style="2" customWidth="1"/>
    <col min="10513" max="10513" width="0.7109375" style="2" customWidth="1"/>
    <col min="10514" max="10515" width="19.85546875" style="2" bestFit="1" customWidth="1"/>
    <col min="10516" max="10516" width="18.7109375" style="2" bestFit="1" customWidth="1"/>
    <col min="10517" max="10517" width="14.5703125" style="2" customWidth="1"/>
    <col min="10518" max="10518" width="9.140625" style="2"/>
    <col min="10519" max="10519" width="13.140625" style="2" bestFit="1" customWidth="1"/>
    <col min="10520" max="10752" width="9.140625" style="2"/>
    <col min="10753" max="10756" width="2.7109375" style="2" customWidth="1"/>
    <col min="10757" max="10757" width="50.5703125" style="2" customWidth="1"/>
    <col min="10758" max="10759" width="19.28515625" style="2" customWidth="1"/>
    <col min="10760" max="10760" width="18.5703125" style="2" customWidth="1"/>
    <col min="10761" max="10761" width="0.7109375" style="2" customWidth="1"/>
    <col min="10762" max="10762" width="24" style="2" bestFit="1" customWidth="1"/>
    <col min="10763" max="10763" width="18.7109375" style="2" bestFit="1" customWidth="1"/>
    <col min="10764" max="10764" width="19.42578125" style="2" bestFit="1" customWidth="1"/>
    <col min="10765" max="10765" width="0.5703125" style="2" customWidth="1"/>
    <col min="10766" max="10767" width="18.7109375" style="2" bestFit="1" customWidth="1"/>
    <col min="10768" max="10768" width="16.5703125" style="2" customWidth="1"/>
    <col min="10769" max="10769" width="0.7109375" style="2" customWidth="1"/>
    <col min="10770" max="10771" width="19.85546875" style="2" bestFit="1" customWidth="1"/>
    <col min="10772" max="10772" width="18.7109375" style="2" bestFit="1" customWidth="1"/>
    <col min="10773" max="10773" width="14.5703125" style="2" customWidth="1"/>
    <col min="10774" max="10774" width="9.140625" style="2"/>
    <col min="10775" max="10775" width="13.140625" style="2" bestFit="1" customWidth="1"/>
    <col min="10776" max="11008" width="9.140625" style="2"/>
    <col min="11009" max="11012" width="2.7109375" style="2" customWidth="1"/>
    <col min="11013" max="11013" width="50.5703125" style="2" customWidth="1"/>
    <col min="11014" max="11015" width="19.28515625" style="2" customWidth="1"/>
    <col min="11016" max="11016" width="18.5703125" style="2" customWidth="1"/>
    <col min="11017" max="11017" width="0.7109375" style="2" customWidth="1"/>
    <col min="11018" max="11018" width="24" style="2" bestFit="1" customWidth="1"/>
    <col min="11019" max="11019" width="18.7109375" style="2" bestFit="1" customWidth="1"/>
    <col min="11020" max="11020" width="19.42578125" style="2" bestFit="1" customWidth="1"/>
    <col min="11021" max="11021" width="0.5703125" style="2" customWidth="1"/>
    <col min="11022" max="11023" width="18.7109375" style="2" bestFit="1" customWidth="1"/>
    <col min="11024" max="11024" width="16.5703125" style="2" customWidth="1"/>
    <col min="11025" max="11025" width="0.7109375" style="2" customWidth="1"/>
    <col min="11026" max="11027" width="19.85546875" style="2" bestFit="1" customWidth="1"/>
    <col min="11028" max="11028" width="18.7109375" style="2" bestFit="1" customWidth="1"/>
    <col min="11029" max="11029" width="14.5703125" style="2" customWidth="1"/>
    <col min="11030" max="11030" width="9.140625" style="2"/>
    <col min="11031" max="11031" width="13.140625" style="2" bestFit="1" customWidth="1"/>
    <col min="11032" max="11264" width="9.140625" style="2"/>
    <col min="11265" max="11268" width="2.7109375" style="2" customWidth="1"/>
    <col min="11269" max="11269" width="50.5703125" style="2" customWidth="1"/>
    <col min="11270" max="11271" width="19.28515625" style="2" customWidth="1"/>
    <col min="11272" max="11272" width="18.5703125" style="2" customWidth="1"/>
    <col min="11273" max="11273" width="0.7109375" style="2" customWidth="1"/>
    <col min="11274" max="11274" width="24" style="2" bestFit="1" customWidth="1"/>
    <col min="11275" max="11275" width="18.7109375" style="2" bestFit="1" customWidth="1"/>
    <col min="11276" max="11276" width="19.42578125" style="2" bestFit="1" customWidth="1"/>
    <col min="11277" max="11277" width="0.5703125" style="2" customWidth="1"/>
    <col min="11278" max="11279" width="18.7109375" style="2" bestFit="1" customWidth="1"/>
    <col min="11280" max="11280" width="16.5703125" style="2" customWidth="1"/>
    <col min="11281" max="11281" width="0.7109375" style="2" customWidth="1"/>
    <col min="11282" max="11283" width="19.85546875" style="2" bestFit="1" customWidth="1"/>
    <col min="11284" max="11284" width="18.7109375" style="2" bestFit="1" customWidth="1"/>
    <col min="11285" max="11285" width="14.5703125" style="2" customWidth="1"/>
    <col min="11286" max="11286" width="9.140625" style="2"/>
    <col min="11287" max="11287" width="13.140625" style="2" bestFit="1" customWidth="1"/>
    <col min="11288" max="11520" width="9.140625" style="2"/>
    <col min="11521" max="11524" width="2.7109375" style="2" customWidth="1"/>
    <col min="11525" max="11525" width="50.5703125" style="2" customWidth="1"/>
    <col min="11526" max="11527" width="19.28515625" style="2" customWidth="1"/>
    <col min="11528" max="11528" width="18.5703125" style="2" customWidth="1"/>
    <col min="11529" max="11529" width="0.7109375" style="2" customWidth="1"/>
    <col min="11530" max="11530" width="24" style="2" bestFit="1" customWidth="1"/>
    <col min="11531" max="11531" width="18.7109375" style="2" bestFit="1" customWidth="1"/>
    <col min="11532" max="11532" width="19.42578125" style="2" bestFit="1" customWidth="1"/>
    <col min="11533" max="11533" width="0.5703125" style="2" customWidth="1"/>
    <col min="11534" max="11535" width="18.7109375" style="2" bestFit="1" customWidth="1"/>
    <col min="11536" max="11536" width="16.5703125" style="2" customWidth="1"/>
    <col min="11537" max="11537" width="0.7109375" style="2" customWidth="1"/>
    <col min="11538" max="11539" width="19.85546875" style="2" bestFit="1" customWidth="1"/>
    <col min="11540" max="11540" width="18.7109375" style="2" bestFit="1" customWidth="1"/>
    <col min="11541" max="11541" width="14.5703125" style="2" customWidth="1"/>
    <col min="11542" max="11542" width="9.140625" style="2"/>
    <col min="11543" max="11543" width="13.140625" style="2" bestFit="1" customWidth="1"/>
    <col min="11544" max="11776" width="9.140625" style="2"/>
    <col min="11777" max="11780" width="2.7109375" style="2" customWidth="1"/>
    <col min="11781" max="11781" width="50.5703125" style="2" customWidth="1"/>
    <col min="11782" max="11783" width="19.28515625" style="2" customWidth="1"/>
    <col min="11784" max="11784" width="18.5703125" style="2" customWidth="1"/>
    <col min="11785" max="11785" width="0.7109375" style="2" customWidth="1"/>
    <col min="11786" max="11786" width="24" style="2" bestFit="1" customWidth="1"/>
    <col min="11787" max="11787" width="18.7109375" style="2" bestFit="1" customWidth="1"/>
    <col min="11788" max="11788" width="19.42578125" style="2" bestFit="1" customWidth="1"/>
    <col min="11789" max="11789" width="0.5703125" style="2" customWidth="1"/>
    <col min="11790" max="11791" width="18.7109375" style="2" bestFit="1" customWidth="1"/>
    <col min="11792" max="11792" width="16.5703125" style="2" customWidth="1"/>
    <col min="11793" max="11793" width="0.7109375" style="2" customWidth="1"/>
    <col min="11794" max="11795" width="19.85546875" style="2" bestFit="1" customWidth="1"/>
    <col min="11796" max="11796" width="18.7109375" style="2" bestFit="1" customWidth="1"/>
    <col min="11797" max="11797" width="14.5703125" style="2" customWidth="1"/>
    <col min="11798" max="11798" width="9.140625" style="2"/>
    <col min="11799" max="11799" width="13.140625" style="2" bestFit="1" customWidth="1"/>
    <col min="11800" max="12032" width="9.140625" style="2"/>
    <col min="12033" max="12036" width="2.7109375" style="2" customWidth="1"/>
    <col min="12037" max="12037" width="50.5703125" style="2" customWidth="1"/>
    <col min="12038" max="12039" width="19.28515625" style="2" customWidth="1"/>
    <col min="12040" max="12040" width="18.5703125" style="2" customWidth="1"/>
    <col min="12041" max="12041" width="0.7109375" style="2" customWidth="1"/>
    <col min="12042" max="12042" width="24" style="2" bestFit="1" customWidth="1"/>
    <col min="12043" max="12043" width="18.7109375" style="2" bestFit="1" customWidth="1"/>
    <col min="12044" max="12044" width="19.42578125" style="2" bestFit="1" customWidth="1"/>
    <col min="12045" max="12045" width="0.5703125" style="2" customWidth="1"/>
    <col min="12046" max="12047" width="18.7109375" style="2" bestFit="1" customWidth="1"/>
    <col min="12048" max="12048" width="16.5703125" style="2" customWidth="1"/>
    <col min="12049" max="12049" width="0.7109375" style="2" customWidth="1"/>
    <col min="12050" max="12051" width="19.85546875" style="2" bestFit="1" customWidth="1"/>
    <col min="12052" max="12052" width="18.7109375" style="2" bestFit="1" customWidth="1"/>
    <col min="12053" max="12053" width="14.5703125" style="2" customWidth="1"/>
    <col min="12054" max="12054" width="9.140625" style="2"/>
    <col min="12055" max="12055" width="13.140625" style="2" bestFit="1" customWidth="1"/>
    <col min="12056" max="12288" width="9.140625" style="2"/>
    <col min="12289" max="12292" width="2.7109375" style="2" customWidth="1"/>
    <col min="12293" max="12293" width="50.5703125" style="2" customWidth="1"/>
    <col min="12294" max="12295" width="19.28515625" style="2" customWidth="1"/>
    <col min="12296" max="12296" width="18.5703125" style="2" customWidth="1"/>
    <col min="12297" max="12297" width="0.7109375" style="2" customWidth="1"/>
    <col min="12298" max="12298" width="24" style="2" bestFit="1" customWidth="1"/>
    <col min="12299" max="12299" width="18.7109375" style="2" bestFit="1" customWidth="1"/>
    <col min="12300" max="12300" width="19.42578125" style="2" bestFit="1" customWidth="1"/>
    <col min="12301" max="12301" width="0.5703125" style="2" customWidth="1"/>
    <col min="12302" max="12303" width="18.7109375" style="2" bestFit="1" customWidth="1"/>
    <col min="12304" max="12304" width="16.5703125" style="2" customWidth="1"/>
    <col min="12305" max="12305" width="0.7109375" style="2" customWidth="1"/>
    <col min="12306" max="12307" width="19.85546875" style="2" bestFit="1" customWidth="1"/>
    <col min="12308" max="12308" width="18.7109375" style="2" bestFit="1" customWidth="1"/>
    <col min="12309" max="12309" width="14.5703125" style="2" customWidth="1"/>
    <col min="12310" max="12310" width="9.140625" style="2"/>
    <col min="12311" max="12311" width="13.140625" style="2" bestFit="1" customWidth="1"/>
    <col min="12312" max="12544" width="9.140625" style="2"/>
    <col min="12545" max="12548" width="2.7109375" style="2" customWidth="1"/>
    <col min="12549" max="12549" width="50.5703125" style="2" customWidth="1"/>
    <col min="12550" max="12551" width="19.28515625" style="2" customWidth="1"/>
    <col min="12552" max="12552" width="18.5703125" style="2" customWidth="1"/>
    <col min="12553" max="12553" width="0.7109375" style="2" customWidth="1"/>
    <col min="12554" max="12554" width="24" style="2" bestFit="1" customWidth="1"/>
    <col min="12555" max="12555" width="18.7109375" style="2" bestFit="1" customWidth="1"/>
    <col min="12556" max="12556" width="19.42578125" style="2" bestFit="1" customWidth="1"/>
    <col min="12557" max="12557" width="0.5703125" style="2" customWidth="1"/>
    <col min="12558" max="12559" width="18.7109375" style="2" bestFit="1" customWidth="1"/>
    <col min="12560" max="12560" width="16.5703125" style="2" customWidth="1"/>
    <col min="12561" max="12561" width="0.7109375" style="2" customWidth="1"/>
    <col min="12562" max="12563" width="19.85546875" style="2" bestFit="1" customWidth="1"/>
    <col min="12564" max="12564" width="18.7109375" style="2" bestFit="1" customWidth="1"/>
    <col min="12565" max="12565" width="14.5703125" style="2" customWidth="1"/>
    <col min="12566" max="12566" width="9.140625" style="2"/>
    <col min="12567" max="12567" width="13.140625" style="2" bestFit="1" customWidth="1"/>
    <col min="12568" max="12800" width="9.140625" style="2"/>
    <col min="12801" max="12804" width="2.7109375" style="2" customWidth="1"/>
    <col min="12805" max="12805" width="50.5703125" style="2" customWidth="1"/>
    <col min="12806" max="12807" width="19.28515625" style="2" customWidth="1"/>
    <col min="12808" max="12808" width="18.5703125" style="2" customWidth="1"/>
    <col min="12809" max="12809" width="0.7109375" style="2" customWidth="1"/>
    <col min="12810" max="12810" width="24" style="2" bestFit="1" customWidth="1"/>
    <col min="12811" max="12811" width="18.7109375" style="2" bestFit="1" customWidth="1"/>
    <col min="12812" max="12812" width="19.42578125" style="2" bestFit="1" customWidth="1"/>
    <col min="12813" max="12813" width="0.5703125" style="2" customWidth="1"/>
    <col min="12814" max="12815" width="18.7109375" style="2" bestFit="1" customWidth="1"/>
    <col min="12816" max="12816" width="16.5703125" style="2" customWidth="1"/>
    <col min="12817" max="12817" width="0.7109375" style="2" customWidth="1"/>
    <col min="12818" max="12819" width="19.85546875" style="2" bestFit="1" customWidth="1"/>
    <col min="12820" max="12820" width="18.7109375" style="2" bestFit="1" customWidth="1"/>
    <col min="12821" max="12821" width="14.5703125" style="2" customWidth="1"/>
    <col min="12822" max="12822" width="9.140625" style="2"/>
    <col min="12823" max="12823" width="13.140625" style="2" bestFit="1" customWidth="1"/>
    <col min="12824" max="13056" width="9.140625" style="2"/>
    <col min="13057" max="13060" width="2.7109375" style="2" customWidth="1"/>
    <col min="13061" max="13061" width="50.5703125" style="2" customWidth="1"/>
    <col min="13062" max="13063" width="19.28515625" style="2" customWidth="1"/>
    <col min="13064" max="13064" width="18.5703125" style="2" customWidth="1"/>
    <col min="13065" max="13065" width="0.7109375" style="2" customWidth="1"/>
    <col min="13066" max="13066" width="24" style="2" bestFit="1" customWidth="1"/>
    <col min="13067" max="13067" width="18.7109375" style="2" bestFit="1" customWidth="1"/>
    <col min="13068" max="13068" width="19.42578125" style="2" bestFit="1" customWidth="1"/>
    <col min="13069" max="13069" width="0.5703125" style="2" customWidth="1"/>
    <col min="13070" max="13071" width="18.7109375" style="2" bestFit="1" customWidth="1"/>
    <col min="13072" max="13072" width="16.5703125" style="2" customWidth="1"/>
    <col min="13073" max="13073" width="0.7109375" style="2" customWidth="1"/>
    <col min="13074" max="13075" width="19.85546875" style="2" bestFit="1" customWidth="1"/>
    <col min="13076" max="13076" width="18.7109375" style="2" bestFit="1" customWidth="1"/>
    <col min="13077" max="13077" width="14.5703125" style="2" customWidth="1"/>
    <col min="13078" max="13078" width="9.140625" style="2"/>
    <col min="13079" max="13079" width="13.140625" style="2" bestFit="1" customWidth="1"/>
    <col min="13080" max="13312" width="9.140625" style="2"/>
    <col min="13313" max="13316" width="2.7109375" style="2" customWidth="1"/>
    <col min="13317" max="13317" width="50.5703125" style="2" customWidth="1"/>
    <col min="13318" max="13319" width="19.28515625" style="2" customWidth="1"/>
    <col min="13320" max="13320" width="18.5703125" style="2" customWidth="1"/>
    <col min="13321" max="13321" width="0.7109375" style="2" customWidth="1"/>
    <col min="13322" max="13322" width="24" style="2" bestFit="1" customWidth="1"/>
    <col min="13323" max="13323" width="18.7109375" style="2" bestFit="1" customWidth="1"/>
    <col min="13324" max="13324" width="19.42578125" style="2" bestFit="1" customWidth="1"/>
    <col min="13325" max="13325" width="0.5703125" style="2" customWidth="1"/>
    <col min="13326" max="13327" width="18.7109375" style="2" bestFit="1" customWidth="1"/>
    <col min="13328" max="13328" width="16.5703125" style="2" customWidth="1"/>
    <col min="13329" max="13329" width="0.7109375" style="2" customWidth="1"/>
    <col min="13330" max="13331" width="19.85546875" style="2" bestFit="1" customWidth="1"/>
    <col min="13332" max="13332" width="18.7109375" style="2" bestFit="1" customWidth="1"/>
    <col min="13333" max="13333" width="14.5703125" style="2" customWidth="1"/>
    <col min="13334" max="13334" width="9.140625" style="2"/>
    <col min="13335" max="13335" width="13.140625" style="2" bestFit="1" customWidth="1"/>
    <col min="13336" max="13568" width="9.140625" style="2"/>
    <col min="13569" max="13572" width="2.7109375" style="2" customWidth="1"/>
    <col min="13573" max="13573" width="50.5703125" style="2" customWidth="1"/>
    <col min="13574" max="13575" width="19.28515625" style="2" customWidth="1"/>
    <col min="13576" max="13576" width="18.5703125" style="2" customWidth="1"/>
    <col min="13577" max="13577" width="0.7109375" style="2" customWidth="1"/>
    <col min="13578" max="13578" width="24" style="2" bestFit="1" customWidth="1"/>
    <col min="13579" max="13579" width="18.7109375" style="2" bestFit="1" customWidth="1"/>
    <col min="13580" max="13580" width="19.42578125" style="2" bestFit="1" customWidth="1"/>
    <col min="13581" max="13581" width="0.5703125" style="2" customWidth="1"/>
    <col min="13582" max="13583" width="18.7109375" style="2" bestFit="1" customWidth="1"/>
    <col min="13584" max="13584" width="16.5703125" style="2" customWidth="1"/>
    <col min="13585" max="13585" width="0.7109375" style="2" customWidth="1"/>
    <col min="13586" max="13587" width="19.85546875" style="2" bestFit="1" customWidth="1"/>
    <col min="13588" max="13588" width="18.7109375" style="2" bestFit="1" customWidth="1"/>
    <col min="13589" max="13589" width="14.5703125" style="2" customWidth="1"/>
    <col min="13590" max="13590" width="9.140625" style="2"/>
    <col min="13591" max="13591" width="13.140625" style="2" bestFit="1" customWidth="1"/>
    <col min="13592" max="13824" width="9.140625" style="2"/>
    <col min="13825" max="13828" width="2.7109375" style="2" customWidth="1"/>
    <col min="13829" max="13829" width="50.5703125" style="2" customWidth="1"/>
    <col min="13830" max="13831" width="19.28515625" style="2" customWidth="1"/>
    <col min="13832" max="13832" width="18.5703125" style="2" customWidth="1"/>
    <col min="13833" max="13833" width="0.7109375" style="2" customWidth="1"/>
    <col min="13834" max="13834" width="24" style="2" bestFit="1" customWidth="1"/>
    <col min="13835" max="13835" width="18.7109375" style="2" bestFit="1" customWidth="1"/>
    <col min="13836" max="13836" width="19.42578125" style="2" bestFit="1" customWidth="1"/>
    <col min="13837" max="13837" width="0.5703125" style="2" customWidth="1"/>
    <col min="13838" max="13839" width="18.7109375" style="2" bestFit="1" customWidth="1"/>
    <col min="13840" max="13840" width="16.5703125" style="2" customWidth="1"/>
    <col min="13841" max="13841" width="0.7109375" style="2" customWidth="1"/>
    <col min="13842" max="13843" width="19.85546875" style="2" bestFit="1" customWidth="1"/>
    <col min="13844" max="13844" width="18.7109375" style="2" bestFit="1" customWidth="1"/>
    <col min="13845" max="13845" width="14.5703125" style="2" customWidth="1"/>
    <col min="13846" max="13846" width="9.140625" style="2"/>
    <col min="13847" max="13847" width="13.140625" style="2" bestFit="1" customWidth="1"/>
    <col min="13848" max="14080" width="9.140625" style="2"/>
    <col min="14081" max="14084" width="2.7109375" style="2" customWidth="1"/>
    <col min="14085" max="14085" width="50.5703125" style="2" customWidth="1"/>
    <col min="14086" max="14087" width="19.28515625" style="2" customWidth="1"/>
    <col min="14088" max="14088" width="18.5703125" style="2" customWidth="1"/>
    <col min="14089" max="14089" width="0.7109375" style="2" customWidth="1"/>
    <col min="14090" max="14090" width="24" style="2" bestFit="1" customWidth="1"/>
    <col min="14091" max="14091" width="18.7109375" style="2" bestFit="1" customWidth="1"/>
    <col min="14092" max="14092" width="19.42578125" style="2" bestFit="1" customWidth="1"/>
    <col min="14093" max="14093" width="0.5703125" style="2" customWidth="1"/>
    <col min="14094" max="14095" width="18.7109375" style="2" bestFit="1" customWidth="1"/>
    <col min="14096" max="14096" width="16.5703125" style="2" customWidth="1"/>
    <col min="14097" max="14097" width="0.7109375" style="2" customWidth="1"/>
    <col min="14098" max="14099" width="19.85546875" style="2" bestFit="1" customWidth="1"/>
    <col min="14100" max="14100" width="18.7109375" style="2" bestFit="1" customWidth="1"/>
    <col min="14101" max="14101" width="14.5703125" style="2" customWidth="1"/>
    <col min="14102" max="14102" width="9.140625" style="2"/>
    <col min="14103" max="14103" width="13.140625" style="2" bestFit="1" customWidth="1"/>
    <col min="14104" max="14336" width="9.140625" style="2"/>
    <col min="14337" max="14340" width="2.7109375" style="2" customWidth="1"/>
    <col min="14341" max="14341" width="50.5703125" style="2" customWidth="1"/>
    <col min="14342" max="14343" width="19.28515625" style="2" customWidth="1"/>
    <col min="14344" max="14344" width="18.5703125" style="2" customWidth="1"/>
    <col min="14345" max="14345" width="0.7109375" style="2" customWidth="1"/>
    <col min="14346" max="14346" width="24" style="2" bestFit="1" customWidth="1"/>
    <col min="14347" max="14347" width="18.7109375" style="2" bestFit="1" customWidth="1"/>
    <col min="14348" max="14348" width="19.42578125" style="2" bestFit="1" customWidth="1"/>
    <col min="14349" max="14349" width="0.5703125" style="2" customWidth="1"/>
    <col min="14350" max="14351" width="18.7109375" style="2" bestFit="1" customWidth="1"/>
    <col min="14352" max="14352" width="16.5703125" style="2" customWidth="1"/>
    <col min="14353" max="14353" width="0.7109375" style="2" customWidth="1"/>
    <col min="14354" max="14355" width="19.85546875" style="2" bestFit="1" customWidth="1"/>
    <col min="14356" max="14356" width="18.7109375" style="2" bestFit="1" customWidth="1"/>
    <col min="14357" max="14357" width="14.5703125" style="2" customWidth="1"/>
    <col min="14358" max="14358" width="9.140625" style="2"/>
    <col min="14359" max="14359" width="13.140625" style="2" bestFit="1" customWidth="1"/>
    <col min="14360" max="14592" width="9.140625" style="2"/>
    <col min="14593" max="14596" width="2.7109375" style="2" customWidth="1"/>
    <col min="14597" max="14597" width="50.5703125" style="2" customWidth="1"/>
    <col min="14598" max="14599" width="19.28515625" style="2" customWidth="1"/>
    <col min="14600" max="14600" width="18.5703125" style="2" customWidth="1"/>
    <col min="14601" max="14601" width="0.7109375" style="2" customWidth="1"/>
    <col min="14602" max="14602" width="24" style="2" bestFit="1" customWidth="1"/>
    <col min="14603" max="14603" width="18.7109375" style="2" bestFit="1" customWidth="1"/>
    <col min="14604" max="14604" width="19.42578125" style="2" bestFit="1" customWidth="1"/>
    <col min="14605" max="14605" width="0.5703125" style="2" customWidth="1"/>
    <col min="14606" max="14607" width="18.7109375" style="2" bestFit="1" customWidth="1"/>
    <col min="14608" max="14608" width="16.5703125" style="2" customWidth="1"/>
    <col min="14609" max="14609" width="0.7109375" style="2" customWidth="1"/>
    <col min="14610" max="14611" width="19.85546875" style="2" bestFit="1" customWidth="1"/>
    <col min="14612" max="14612" width="18.7109375" style="2" bestFit="1" customWidth="1"/>
    <col min="14613" max="14613" width="14.5703125" style="2" customWidth="1"/>
    <col min="14614" max="14614" width="9.140625" style="2"/>
    <col min="14615" max="14615" width="13.140625" style="2" bestFit="1" customWidth="1"/>
    <col min="14616" max="14848" width="9.140625" style="2"/>
    <col min="14849" max="14852" width="2.7109375" style="2" customWidth="1"/>
    <col min="14853" max="14853" width="50.5703125" style="2" customWidth="1"/>
    <col min="14854" max="14855" width="19.28515625" style="2" customWidth="1"/>
    <col min="14856" max="14856" width="18.5703125" style="2" customWidth="1"/>
    <col min="14857" max="14857" width="0.7109375" style="2" customWidth="1"/>
    <col min="14858" max="14858" width="24" style="2" bestFit="1" customWidth="1"/>
    <col min="14859" max="14859" width="18.7109375" style="2" bestFit="1" customWidth="1"/>
    <col min="14860" max="14860" width="19.42578125" style="2" bestFit="1" customWidth="1"/>
    <col min="14861" max="14861" width="0.5703125" style="2" customWidth="1"/>
    <col min="14862" max="14863" width="18.7109375" style="2" bestFit="1" customWidth="1"/>
    <col min="14864" max="14864" width="16.5703125" style="2" customWidth="1"/>
    <col min="14865" max="14865" width="0.7109375" style="2" customWidth="1"/>
    <col min="14866" max="14867" width="19.85546875" style="2" bestFit="1" customWidth="1"/>
    <col min="14868" max="14868" width="18.7109375" style="2" bestFit="1" customWidth="1"/>
    <col min="14869" max="14869" width="14.5703125" style="2" customWidth="1"/>
    <col min="14870" max="14870" width="9.140625" style="2"/>
    <col min="14871" max="14871" width="13.140625" style="2" bestFit="1" customWidth="1"/>
    <col min="14872" max="15104" width="9.140625" style="2"/>
    <col min="15105" max="15108" width="2.7109375" style="2" customWidth="1"/>
    <col min="15109" max="15109" width="50.5703125" style="2" customWidth="1"/>
    <col min="15110" max="15111" width="19.28515625" style="2" customWidth="1"/>
    <col min="15112" max="15112" width="18.5703125" style="2" customWidth="1"/>
    <col min="15113" max="15113" width="0.7109375" style="2" customWidth="1"/>
    <col min="15114" max="15114" width="24" style="2" bestFit="1" customWidth="1"/>
    <col min="15115" max="15115" width="18.7109375" style="2" bestFit="1" customWidth="1"/>
    <col min="15116" max="15116" width="19.42578125" style="2" bestFit="1" customWidth="1"/>
    <col min="15117" max="15117" width="0.5703125" style="2" customWidth="1"/>
    <col min="15118" max="15119" width="18.7109375" style="2" bestFit="1" customWidth="1"/>
    <col min="15120" max="15120" width="16.5703125" style="2" customWidth="1"/>
    <col min="15121" max="15121" width="0.7109375" style="2" customWidth="1"/>
    <col min="15122" max="15123" width="19.85546875" style="2" bestFit="1" customWidth="1"/>
    <col min="15124" max="15124" width="18.7109375" style="2" bestFit="1" customWidth="1"/>
    <col min="15125" max="15125" width="14.5703125" style="2" customWidth="1"/>
    <col min="15126" max="15126" width="9.140625" style="2"/>
    <col min="15127" max="15127" width="13.140625" style="2" bestFit="1" customWidth="1"/>
    <col min="15128" max="15360" width="9.140625" style="2"/>
    <col min="15361" max="15364" width="2.7109375" style="2" customWidth="1"/>
    <col min="15365" max="15365" width="50.5703125" style="2" customWidth="1"/>
    <col min="15366" max="15367" width="19.28515625" style="2" customWidth="1"/>
    <col min="15368" max="15368" width="18.5703125" style="2" customWidth="1"/>
    <col min="15369" max="15369" width="0.7109375" style="2" customWidth="1"/>
    <col min="15370" max="15370" width="24" style="2" bestFit="1" customWidth="1"/>
    <col min="15371" max="15371" width="18.7109375" style="2" bestFit="1" customWidth="1"/>
    <col min="15372" max="15372" width="19.42578125" style="2" bestFit="1" customWidth="1"/>
    <col min="15373" max="15373" width="0.5703125" style="2" customWidth="1"/>
    <col min="15374" max="15375" width="18.7109375" style="2" bestFit="1" customWidth="1"/>
    <col min="15376" max="15376" width="16.5703125" style="2" customWidth="1"/>
    <col min="15377" max="15377" width="0.7109375" style="2" customWidth="1"/>
    <col min="15378" max="15379" width="19.85546875" style="2" bestFit="1" customWidth="1"/>
    <col min="15380" max="15380" width="18.7109375" style="2" bestFit="1" customWidth="1"/>
    <col min="15381" max="15381" width="14.5703125" style="2" customWidth="1"/>
    <col min="15382" max="15382" width="9.140625" style="2"/>
    <col min="15383" max="15383" width="13.140625" style="2" bestFit="1" customWidth="1"/>
    <col min="15384" max="15616" width="9.140625" style="2"/>
    <col min="15617" max="15620" width="2.7109375" style="2" customWidth="1"/>
    <col min="15621" max="15621" width="50.5703125" style="2" customWidth="1"/>
    <col min="15622" max="15623" width="19.28515625" style="2" customWidth="1"/>
    <col min="15624" max="15624" width="18.5703125" style="2" customWidth="1"/>
    <col min="15625" max="15625" width="0.7109375" style="2" customWidth="1"/>
    <col min="15626" max="15626" width="24" style="2" bestFit="1" customWidth="1"/>
    <col min="15627" max="15627" width="18.7109375" style="2" bestFit="1" customWidth="1"/>
    <col min="15628" max="15628" width="19.42578125" style="2" bestFit="1" customWidth="1"/>
    <col min="15629" max="15629" width="0.5703125" style="2" customWidth="1"/>
    <col min="15630" max="15631" width="18.7109375" style="2" bestFit="1" customWidth="1"/>
    <col min="15632" max="15632" width="16.5703125" style="2" customWidth="1"/>
    <col min="15633" max="15633" width="0.7109375" style="2" customWidth="1"/>
    <col min="15634" max="15635" width="19.85546875" style="2" bestFit="1" customWidth="1"/>
    <col min="15636" max="15636" width="18.7109375" style="2" bestFit="1" customWidth="1"/>
    <col min="15637" max="15637" width="14.5703125" style="2" customWidth="1"/>
    <col min="15638" max="15638" width="9.140625" style="2"/>
    <col min="15639" max="15639" width="13.140625" style="2" bestFit="1" customWidth="1"/>
    <col min="15640" max="15872" width="9.140625" style="2"/>
    <col min="15873" max="15876" width="2.7109375" style="2" customWidth="1"/>
    <col min="15877" max="15877" width="50.5703125" style="2" customWidth="1"/>
    <col min="15878" max="15879" width="19.28515625" style="2" customWidth="1"/>
    <col min="15880" max="15880" width="18.5703125" style="2" customWidth="1"/>
    <col min="15881" max="15881" width="0.7109375" style="2" customWidth="1"/>
    <col min="15882" max="15882" width="24" style="2" bestFit="1" customWidth="1"/>
    <col min="15883" max="15883" width="18.7109375" style="2" bestFit="1" customWidth="1"/>
    <col min="15884" max="15884" width="19.42578125" style="2" bestFit="1" customWidth="1"/>
    <col min="15885" max="15885" width="0.5703125" style="2" customWidth="1"/>
    <col min="15886" max="15887" width="18.7109375" style="2" bestFit="1" customWidth="1"/>
    <col min="15888" max="15888" width="16.5703125" style="2" customWidth="1"/>
    <col min="15889" max="15889" width="0.7109375" style="2" customWidth="1"/>
    <col min="15890" max="15891" width="19.85546875" style="2" bestFit="1" customWidth="1"/>
    <col min="15892" max="15892" width="18.7109375" style="2" bestFit="1" customWidth="1"/>
    <col min="15893" max="15893" width="14.5703125" style="2" customWidth="1"/>
    <col min="15894" max="15894" width="9.140625" style="2"/>
    <col min="15895" max="15895" width="13.140625" style="2" bestFit="1" customWidth="1"/>
    <col min="15896" max="16128" width="9.140625" style="2"/>
    <col min="16129" max="16132" width="2.7109375" style="2" customWidth="1"/>
    <col min="16133" max="16133" width="50.5703125" style="2" customWidth="1"/>
    <col min="16134" max="16135" width="19.28515625" style="2" customWidth="1"/>
    <col min="16136" max="16136" width="18.5703125" style="2" customWidth="1"/>
    <col min="16137" max="16137" width="0.7109375" style="2" customWidth="1"/>
    <col min="16138" max="16138" width="24" style="2" bestFit="1" customWidth="1"/>
    <col min="16139" max="16139" width="18.7109375" style="2" bestFit="1" customWidth="1"/>
    <col min="16140" max="16140" width="19.42578125" style="2" bestFit="1" customWidth="1"/>
    <col min="16141" max="16141" width="0.5703125" style="2" customWidth="1"/>
    <col min="16142" max="16143" width="18.7109375" style="2" bestFit="1" customWidth="1"/>
    <col min="16144" max="16144" width="16.5703125" style="2" customWidth="1"/>
    <col min="16145" max="16145" width="0.7109375" style="2" customWidth="1"/>
    <col min="16146" max="16147" width="19.85546875" style="2" bestFit="1" customWidth="1"/>
    <col min="16148" max="16148" width="18.7109375" style="2" bestFit="1" customWidth="1"/>
    <col min="16149" max="16149" width="14.5703125" style="2" customWidth="1"/>
    <col min="16150" max="16150" width="9.140625" style="2"/>
    <col min="16151" max="16151" width="13.140625" style="2" bestFit="1" customWidth="1"/>
    <col min="16152" max="16384" width="9.140625" style="2"/>
  </cols>
  <sheetData>
    <row r="1" spans="2:21" ht="18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2:21" ht="20.25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21" ht="18">
      <c r="B3" s="131" t="s">
        <v>141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1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2:21" ht="24.95" customHeight="1">
      <c r="B5" s="134" t="s">
        <v>3</v>
      </c>
      <c r="C5" s="135"/>
      <c r="D5" s="135"/>
      <c r="E5" s="136"/>
      <c r="F5" s="140" t="s">
        <v>4</v>
      </c>
      <c r="G5" s="141"/>
      <c r="H5" s="142"/>
      <c r="I5" s="3"/>
      <c r="J5" s="140" t="s">
        <v>5</v>
      </c>
      <c r="K5" s="141"/>
      <c r="L5" s="142"/>
      <c r="M5" s="4"/>
      <c r="N5" s="140" t="s">
        <v>6</v>
      </c>
      <c r="O5" s="141"/>
      <c r="P5" s="142"/>
      <c r="Q5" s="3"/>
      <c r="R5" s="140" t="s">
        <v>7</v>
      </c>
      <c r="S5" s="141"/>
      <c r="T5" s="143"/>
      <c r="U5" s="127" t="s">
        <v>8</v>
      </c>
    </row>
    <row r="6" spans="2:21" s="8" customFormat="1" ht="28.5" customHeight="1" thickBot="1">
      <c r="B6" s="137"/>
      <c r="C6" s="138"/>
      <c r="D6" s="138"/>
      <c r="E6" s="139"/>
      <c r="F6" s="5" t="s">
        <v>9</v>
      </c>
      <c r="G6" s="6" t="s">
        <v>10</v>
      </c>
      <c r="H6" s="5" t="s">
        <v>11</v>
      </c>
      <c r="I6" s="6"/>
      <c r="J6" s="5" t="s">
        <v>12</v>
      </c>
      <c r="K6" s="6" t="s">
        <v>10</v>
      </c>
      <c r="L6" s="5" t="s">
        <v>11</v>
      </c>
      <c r="M6" s="5"/>
      <c r="N6" s="5" t="s">
        <v>9</v>
      </c>
      <c r="O6" s="6" t="s">
        <v>10</v>
      </c>
      <c r="P6" s="5" t="s">
        <v>11</v>
      </c>
      <c r="Q6" s="5"/>
      <c r="R6" s="6" t="s">
        <v>13</v>
      </c>
      <c r="S6" s="6" t="s">
        <v>10</v>
      </c>
      <c r="T6" s="7" t="s">
        <v>11</v>
      </c>
      <c r="U6" s="128"/>
    </row>
    <row r="7" spans="2:21" ht="24.95" customHeight="1">
      <c r="B7" s="9"/>
      <c r="C7" s="10"/>
      <c r="D7" s="10"/>
      <c r="E7" s="11"/>
      <c r="F7" s="12"/>
      <c r="G7" s="12"/>
      <c r="H7" s="12"/>
      <c r="I7" s="13"/>
      <c r="J7" s="12"/>
      <c r="K7" s="12"/>
      <c r="L7" s="12"/>
      <c r="M7" s="12"/>
      <c r="N7" s="12"/>
      <c r="O7" s="12"/>
      <c r="P7" s="12"/>
      <c r="Q7" s="13"/>
      <c r="R7" s="12"/>
      <c r="S7" s="12"/>
      <c r="T7" s="14"/>
      <c r="U7" s="15"/>
    </row>
    <row r="8" spans="2:21" ht="24.95" customHeight="1">
      <c r="B8" s="9" t="s">
        <v>14</v>
      </c>
      <c r="C8" s="10"/>
      <c r="D8" s="10"/>
      <c r="E8" s="11"/>
      <c r="F8" s="12">
        <f>660675000+720000000-408706076.05+2878201</f>
        <v>974847124.95000005</v>
      </c>
      <c r="G8" s="12">
        <f>971968992.41+2878201</f>
        <v>974847193.40999997</v>
      </c>
      <c r="H8" s="12">
        <f>+F8-G8</f>
        <v>-68.459999918937683</v>
      </c>
      <c r="I8" s="13"/>
      <c r="J8" s="12"/>
      <c r="K8" s="12"/>
      <c r="L8" s="12">
        <f>+J8-K8</f>
        <v>0</v>
      </c>
      <c r="M8" s="12"/>
      <c r="N8" s="12">
        <v>412923</v>
      </c>
      <c r="O8" s="12">
        <v>196261.99</v>
      </c>
      <c r="P8" s="12">
        <f>+N8-O8</f>
        <v>216661.01</v>
      </c>
      <c r="Q8" s="16"/>
      <c r="R8" s="12">
        <f>+F8+J8+N8</f>
        <v>975260047.95000005</v>
      </c>
      <c r="S8" s="12">
        <f>+G8+K8+O8</f>
        <v>975043455.39999998</v>
      </c>
      <c r="T8" s="14">
        <f>+R8-S8</f>
        <v>216592.55000007153</v>
      </c>
      <c r="U8" s="17">
        <f>+S8/R8</f>
        <v>0.99977791302898611</v>
      </c>
    </row>
    <row r="9" spans="2:21" ht="24.95" customHeight="1">
      <c r="B9" s="18"/>
      <c r="C9" s="10"/>
      <c r="D9" s="10"/>
      <c r="E9" s="19"/>
      <c r="F9" s="12"/>
      <c r="G9" s="12"/>
      <c r="H9" s="12">
        <f>+F9-G9</f>
        <v>0</v>
      </c>
      <c r="I9" s="13"/>
      <c r="J9" s="12"/>
      <c r="K9" s="12"/>
      <c r="L9" s="12">
        <f>+J9-K9</f>
        <v>0</v>
      </c>
      <c r="M9" s="12"/>
      <c r="N9" s="12"/>
      <c r="O9" s="12"/>
      <c r="P9" s="12">
        <f>+N9-O9</f>
        <v>0</v>
      </c>
      <c r="Q9" s="13"/>
      <c r="R9" s="12"/>
      <c r="S9" s="12"/>
      <c r="T9" s="14"/>
      <c r="U9" s="17"/>
    </row>
    <row r="10" spans="2:21" ht="24.95" customHeight="1">
      <c r="B10" s="9" t="s">
        <v>15</v>
      </c>
      <c r="C10" s="10"/>
      <c r="D10" s="10"/>
      <c r="E10" s="11"/>
      <c r="F10" s="12"/>
      <c r="G10" s="12"/>
      <c r="H10" s="12"/>
      <c r="I10" s="13"/>
      <c r="J10" s="12"/>
      <c r="K10" s="12"/>
      <c r="L10" s="12"/>
      <c r="M10" s="12"/>
      <c r="N10" s="12"/>
      <c r="O10" s="12"/>
      <c r="P10" s="12"/>
      <c r="Q10" s="13"/>
      <c r="R10" s="12"/>
      <c r="S10" s="12"/>
      <c r="T10" s="14"/>
      <c r="U10" s="17"/>
    </row>
    <row r="11" spans="2:21" ht="30" customHeight="1">
      <c r="B11" s="9"/>
      <c r="C11" s="129" t="s">
        <v>16</v>
      </c>
      <c r="D11" s="129"/>
      <c r="E11" s="130"/>
      <c r="F11" s="12">
        <f>SUM(F13:F46)</f>
        <v>992466226.94000006</v>
      </c>
      <c r="G11" s="12">
        <f t="shared" ref="G11:T11" si="0">SUM(G13:G46)</f>
        <v>795943330.41999996</v>
      </c>
      <c r="H11" s="12">
        <f t="shared" si="0"/>
        <v>196522896.51999998</v>
      </c>
      <c r="I11" s="12">
        <f t="shared" si="0"/>
        <v>2208000</v>
      </c>
      <c r="J11" s="12">
        <f>SUM(J13:J46)</f>
        <v>96636086.870000005</v>
      </c>
      <c r="K11" s="12">
        <f>SUM(K13:K46)</f>
        <v>43961397.870000005</v>
      </c>
      <c r="L11" s="12">
        <f>SUM(L13:L46)</f>
        <v>52674689</v>
      </c>
      <c r="M11" s="12">
        <f t="shared" si="0"/>
        <v>0</v>
      </c>
      <c r="N11" s="12">
        <f>SUM(N13:N46)</f>
        <v>70779342.599999994</v>
      </c>
      <c r="O11" s="12">
        <f>SUM(O13:O46)</f>
        <v>24541566.530000001</v>
      </c>
      <c r="P11" s="12">
        <f>SUM(P13:P46)</f>
        <v>46237776.07</v>
      </c>
      <c r="Q11" s="12">
        <f t="shared" si="0"/>
        <v>0</v>
      </c>
      <c r="R11" s="12">
        <f t="shared" si="0"/>
        <v>1159881656.4100001</v>
      </c>
      <c r="S11" s="12">
        <f t="shared" si="0"/>
        <v>864446294.82000017</v>
      </c>
      <c r="T11" s="14">
        <f t="shared" si="0"/>
        <v>295435361.58999997</v>
      </c>
      <c r="U11" s="17">
        <f>+S11/R11</f>
        <v>0.74528835768951229</v>
      </c>
    </row>
    <row r="12" spans="2:21" ht="24.95" customHeight="1">
      <c r="B12" s="18"/>
      <c r="C12" s="20" t="s">
        <v>17</v>
      </c>
      <c r="D12" s="20"/>
      <c r="E12" s="10"/>
      <c r="F12" s="12"/>
      <c r="G12" s="12"/>
      <c r="H12" s="12">
        <f t="shared" ref="H12:H17" si="1">+F12-G12</f>
        <v>0</v>
      </c>
      <c r="I12" s="13"/>
      <c r="J12" s="12"/>
      <c r="K12" s="12"/>
      <c r="L12" s="12">
        <f t="shared" ref="L12:L17" si="2">+J12-K12</f>
        <v>0</v>
      </c>
      <c r="M12" s="12"/>
      <c r="N12" s="12"/>
      <c r="O12" s="12"/>
      <c r="P12" s="12">
        <f t="shared" ref="P12:P17" si="3">+N12-O12</f>
        <v>0</v>
      </c>
      <c r="Q12" s="13"/>
      <c r="R12" s="12"/>
      <c r="S12" s="12"/>
      <c r="T12" s="14"/>
      <c r="U12" s="17"/>
    </row>
    <row r="13" spans="2:21" ht="24.95" customHeight="1">
      <c r="B13" s="18"/>
      <c r="C13" s="20"/>
      <c r="D13" s="20"/>
      <c r="E13" s="10" t="s">
        <v>18</v>
      </c>
      <c r="F13" s="12">
        <v>25312000</v>
      </c>
      <c r="G13" s="12">
        <v>28721489.260000002</v>
      </c>
      <c r="H13" s="12">
        <f t="shared" si="1"/>
        <v>-3409489.2600000016</v>
      </c>
      <c r="I13" s="13"/>
      <c r="J13" s="12"/>
      <c r="K13" s="12"/>
      <c r="L13" s="12">
        <f t="shared" si="2"/>
        <v>0</v>
      </c>
      <c r="M13" s="12"/>
      <c r="N13" s="12"/>
      <c r="O13" s="12"/>
      <c r="P13" s="12">
        <f t="shared" si="3"/>
        <v>0</v>
      </c>
      <c r="Q13" s="13"/>
      <c r="R13" s="12">
        <f t="shared" ref="R13:S17" si="4">+F13+J13+N13</f>
        <v>25312000</v>
      </c>
      <c r="S13" s="12">
        <f t="shared" si="4"/>
        <v>28721489.260000002</v>
      </c>
      <c r="T13" s="14">
        <f>+R13-S13</f>
        <v>-3409489.2600000016</v>
      </c>
      <c r="U13" s="17">
        <f t="shared" ref="U13:U72" si="5">+S13/R13</f>
        <v>1.1346985327117574</v>
      </c>
    </row>
    <row r="14" spans="2:21" ht="24.95" customHeight="1">
      <c r="B14" s="18"/>
      <c r="C14" s="10"/>
      <c r="D14" s="10"/>
      <c r="E14" s="21" t="s">
        <v>19</v>
      </c>
      <c r="F14" s="12">
        <v>9807000</v>
      </c>
      <c r="G14" s="12">
        <v>8888932.6900000032</v>
      </c>
      <c r="H14" s="12">
        <f t="shared" si="1"/>
        <v>918067.3099999968</v>
      </c>
      <c r="I14" s="13"/>
      <c r="J14" s="12"/>
      <c r="K14" s="12"/>
      <c r="L14" s="12">
        <f t="shared" si="2"/>
        <v>0</v>
      </c>
      <c r="M14" s="12"/>
      <c r="N14" s="12"/>
      <c r="O14" s="12"/>
      <c r="P14" s="12">
        <f t="shared" si="3"/>
        <v>0</v>
      </c>
      <c r="Q14" s="13"/>
      <c r="R14" s="12">
        <f t="shared" si="4"/>
        <v>9807000</v>
      </c>
      <c r="S14" s="12">
        <f t="shared" si="4"/>
        <v>8888932.6900000032</v>
      </c>
      <c r="T14" s="14">
        <f>+R14-S14</f>
        <v>918067.3099999968</v>
      </c>
      <c r="U14" s="17">
        <f t="shared" si="5"/>
        <v>0.90638652900989125</v>
      </c>
    </row>
    <row r="15" spans="2:21" ht="27" customHeight="1">
      <c r="B15" s="18"/>
      <c r="C15" s="10"/>
      <c r="D15" s="10"/>
      <c r="E15" s="21" t="s">
        <v>20</v>
      </c>
      <c r="F15" s="12">
        <v>29738455</v>
      </c>
      <c r="G15" s="12">
        <v>25106915.810000002</v>
      </c>
      <c r="H15" s="12">
        <f t="shared" si="1"/>
        <v>4631539.1899999976</v>
      </c>
      <c r="I15" s="13"/>
      <c r="J15" s="12"/>
      <c r="K15" s="12"/>
      <c r="L15" s="12">
        <f t="shared" si="2"/>
        <v>0</v>
      </c>
      <c r="M15" s="12"/>
      <c r="N15" s="12"/>
      <c r="O15" s="12"/>
      <c r="P15" s="12">
        <f t="shared" si="3"/>
        <v>0</v>
      </c>
      <c r="Q15" s="13"/>
      <c r="R15" s="12">
        <f t="shared" si="4"/>
        <v>29738455</v>
      </c>
      <c r="S15" s="12">
        <f t="shared" si="4"/>
        <v>25106915.810000002</v>
      </c>
      <c r="T15" s="14">
        <f>+R15-S15</f>
        <v>4631539.1899999976</v>
      </c>
      <c r="U15" s="17">
        <f t="shared" si="5"/>
        <v>0.84425757188798145</v>
      </c>
    </row>
    <row r="16" spans="2:21" ht="27" customHeight="1">
      <c r="B16" s="18"/>
      <c r="C16" s="10"/>
      <c r="D16" s="10"/>
      <c r="E16" s="22" t="s">
        <v>21</v>
      </c>
      <c r="F16" s="12">
        <v>10136075.190000001</v>
      </c>
      <c r="G16" s="12">
        <v>6864321.04</v>
      </c>
      <c r="H16" s="12">
        <f t="shared" si="1"/>
        <v>3271754.1500000013</v>
      </c>
      <c r="I16" s="13"/>
      <c r="J16" s="12"/>
      <c r="K16" s="12"/>
      <c r="L16" s="12">
        <f t="shared" si="2"/>
        <v>0</v>
      </c>
      <c r="M16" s="12"/>
      <c r="N16" s="12"/>
      <c r="O16" s="12"/>
      <c r="P16" s="12">
        <f t="shared" si="3"/>
        <v>0</v>
      </c>
      <c r="Q16" s="13"/>
      <c r="R16" s="12">
        <f t="shared" si="4"/>
        <v>10136075.190000001</v>
      </c>
      <c r="S16" s="12">
        <f t="shared" si="4"/>
        <v>6864321.04</v>
      </c>
      <c r="T16" s="14">
        <f>+R16-S16</f>
        <v>3271754.1500000013</v>
      </c>
      <c r="U16" s="17">
        <f t="shared" si="5"/>
        <v>0.67721686267404246</v>
      </c>
    </row>
    <row r="17" spans="2:21" ht="27" customHeight="1">
      <c r="B17" s="18"/>
      <c r="C17" s="10"/>
      <c r="D17" s="10"/>
      <c r="E17" s="21" t="s">
        <v>22</v>
      </c>
      <c r="F17" s="12">
        <v>18455441</v>
      </c>
      <c r="G17" s="12">
        <v>16352340.82</v>
      </c>
      <c r="H17" s="12">
        <f t="shared" si="1"/>
        <v>2103100.1799999997</v>
      </c>
      <c r="I17" s="13"/>
      <c r="J17" s="12"/>
      <c r="K17" s="12"/>
      <c r="L17" s="12">
        <f t="shared" si="2"/>
        <v>0</v>
      </c>
      <c r="M17" s="12"/>
      <c r="N17" s="12"/>
      <c r="O17" s="12"/>
      <c r="P17" s="12">
        <f t="shared" si="3"/>
        <v>0</v>
      </c>
      <c r="Q17" s="13"/>
      <c r="R17" s="12">
        <f t="shared" si="4"/>
        <v>18455441</v>
      </c>
      <c r="S17" s="12">
        <f t="shared" si="4"/>
        <v>16352340.82</v>
      </c>
      <c r="T17" s="14">
        <f>+R17-S17</f>
        <v>2103100.1799999997</v>
      </c>
      <c r="U17" s="17">
        <f t="shared" si="5"/>
        <v>0.88604443643476194</v>
      </c>
    </row>
    <row r="18" spans="2:21" ht="24.95" customHeight="1">
      <c r="B18" s="18"/>
      <c r="C18" s="10"/>
      <c r="D18" s="10"/>
      <c r="E18" s="21"/>
      <c r="F18" s="12"/>
      <c r="G18" s="12"/>
      <c r="H18" s="12"/>
      <c r="I18" s="13"/>
      <c r="J18" s="12"/>
      <c r="K18" s="12"/>
      <c r="L18" s="12"/>
      <c r="M18" s="12"/>
      <c r="N18" s="12"/>
      <c r="O18" s="12"/>
      <c r="P18" s="12"/>
      <c r="Q18" s="13"/>
      <c r="R18" s="12"/>
      <c r="S18" s="12"/>
      <c r="T18" s="14"/>
      <c r="U18" s="17"/>
    </row>
    <row r="19" spans="2:21" ht="24.95" customHeight="1">
      <c r="B19" s="18"/>
      <c r="C19" s="20" t="s">
        <v>23</v>
      </c>
      <c r="D19" s="20"/>
      <c r="E19" s="10"/>
      <c r="F19" s="12"/>
      <c r="G19" s="12"/>
      <c r="H19" s="12"/>
      <c r="I19" s="13"/>
      <c r="J19" s="12"/>
      <c r="K19" s="12"/>
      <c r="L19" s="12"/>
      <c r="M19" s="12"/>
      <c r="N19" s="12"/>
      <c r="O19" s="12"/>
      <c r="P19" s="12"/>
      <c r="Q19" s="13"/>
      <c r="R19" s="12"/>
      <c r="S19" s="12"/>
      <c r="T19" s="14"/>
      <c r="U19" s="17"/>
    </row>
    <row r="20" spans="2:21" ht="24.95" customHeight="1">
      <c r="B20" s="18"/>
      <c r="C20" s="20"/>
      <c r="D20" s="20"/>
      <c r="E20" s="10" t="s">
        <v>24</v>
      </c>
      <c r="F20" s="12">
        <v>25406000</v>
      </c>
      <c r="G20" s="12">
        <v>29402506.59</v>
      </c>
      <c r="H20" s="12">
        <f>+F20-G20</f>
        <v>-3996506.59</v>
      </c>
      <c r="I20" s="13"/>
      <c r="J20" s="12"/>
      <c r="K20" s="12"/>
      <c r="L20" s="12">
        <f>+J20-K20</f>
        <v>0</v>
      </c>
      <c r="M20" s="12"/>
      <c r="N20" s="12">
        <v>59640000</v>
      </c>
      <c r="O20" s="12">
        <v>5859257.7800000003</v>
      </c>
      <c r="P20" s="12">
        <f>+N20-O20</f>
        <v>53780742.219999999</v>
      </c>
      <c r="Q20" s="13"/>
      <c r="R20" s="12">
        <f>+F20+J20+N20</f>
        <v>85046000</v>
      </c>
      <c r="S20" s="12">
        <f>+G20+K20+O20</f>
        <v>35261764.369999997</v>
      </c>
      <c r="T20" s="14">
        <f>+R20-S20</f>
        <v>49784235.630000003</v>
      </c>
      <c r="U20" s="17">
        <f t="shared" si="5"/>
        <v>0.41461990416950822</v>
      </c>
    </row>
    <row r="21" spans="2:21" ht="28.5" customHeight="1">
      <c r="B21" s="18"/>
      <c r="C21" s="10"/>
      <c r="D21" s="10"/>
      <c r="E21" s="22" t="s">
        <v>142</v>
      </c>
      <c r="F21" s="12">
        <v>35342000</v>
      </c>
      <c r="G21" s="12">
        <v>22281605.460000001</v>
      </c>
      <c r="H21" s="12">
        <f>+F21-G21</f>
        <v>13060394.539999999</v>
      </c>
      <c r="I21" s="13"/>
      <c r="J21" s="12"/>
      <c r="K21" s="12"/>
      <c r="L21" s="12">
        <f>+J21-K21</f>
        <v>0</v>
      </c>
      <c r="M21" s="12"/>
      <c r="N21" s="12">
        <v>358105</v>
      </c>
      <c r="O21" s="12">
        <v>854773.14</v>
      </c>
      <c r="P21" s="12">
        <f>+N21-O21</f>
        <v>-496668.14</v>
      </c>
      <c r="Q21" s="13"/>
      <c r="R21" s="12">
        <f>+F21+J21+N21</f>
        <v>35700105</v>
      </c>
      <c r="S21" s="12">
        <f>+G21+K21+O21</f>
        <v>23136378.600000001</v>
      </c>
      <c r="T21" s="14">
        <f>+R21-S21</f>
        <v>12563726.399999999</v>
      </c>
      <c r="U21" s="17">
        <f t="shared" si="5"/>
        <v>0.64807592582710893</v>
      </c>
    </row>
    <row r="22" spans="2:21" ht="24.95" customHeight="1">
      <c r="B22" s="18"/>
      <c r="C22" s="10"/>
      <c r="D22" s="10"/>
      <c r="E22" s="22"/>
      <c r="F22" s="12"/>
      <c r="G22" s="12"/>
      <c r="H22" s="12"/>
      <c r="I22" s="13"/>
      <c r="J22" s="12"/>
      <c r="K22" s="12"/>
      <c r="L22" s="12"/>
      <c r="M22" s="12"/>
      <c r="N22" s="12"/>
      <c r="O22" s="12"/>
      <c r="P22" s="12"/>
      <c r="Q22" s="13"/>
      <c r="R22" s="12"/>
      <c r="S22" s="12"/>
      <c r="T22" s="14"/>
      <c r="U22" s="17"/>
    </row>
    <row r="23" spans="2:21" ht="24.95" customHeight="1">
      <c r="B23" s="18"/>
      <c r="C23" s="20" t="s">
        <v>26</v>
      </c>
      <c r="D23" s="20"/>
      <c r="E23" s="10"/>
      <c r="F23" s="12"/>
      <c r="G23" s="12"/>
      <c r="H23" s="12"/>
      <c r="I23" s="13"/>
      <c r="J23" s="12"/>
      <c r="K23" s="12"/>
      <c r="L23" s="12"/>
      <c r="M23" s="12"/>
      <c r="N23" s="12"/>
      <c r="O23" s="12"/>
      <c r="P23" s="12"/>
      <c r="Q23" s="13"/>
      <c r="R23" s="12"/>
      <c r="S23" s="12"/>
      <c r="T23" s="14"/>
      <c r="U23" s="17"/>
    </row>
    <row r="24" spans="2:21" ht="24.95" customHeight="1">
      <c r="B24" s="18"/>
      <c r="C24" s="20"/>
      <c r="D24" s="20"/>
      <c r="E24" s="10" t="s">
        <v>27</v>
      </c>
      <c r="F24" s="12">
        <v>65400000</v>
      </c>
      <c r="G24" s="12">
        <v>31080042.219999999</v>
      </c>
      <c r="H24" s="12">
        <f>+F24-G24</f>
        <v>34319957.780000001</v>
      </c>
      <c r="I24" s="13"/>
      <c r="J24" s="12"/>
      <c r="K24" s="12"/>
      <c r="L24" s="12">
        <f>+J24-K24</f>
        <v>0</v>
      </c>
      <c r="M24" s="12"/>
      <c r="N24" s="12"/>
      <c r="O24" s="12"/>
      <c r="P24" s="12">
        <f>+N24-O24</f>
        <v>0</v>
      </c>
      <c r="Q24" s="13"/>
      <c r="R24" s="12">
        <f t="shared" ref="R24:S26" si="6">+F24+J24+N24</f>
        <v>65400000</v>
      </c>
      <c r="S24" s="12">
        <f t="shared" si="6"/>
        <v>31080042.219999999</v>
      </c>
      <c r="T24" s="14">
        <f>+R24-S24</f>
        <v>34319957.780000001</v>
      </c>
      <c r="U24" s="17">
        <f t="shared" si="5"/>
        <v>0.47523000336391436</v>
      </c>
    </row>
    <row r="25" spans="2:21" ht="27.75" customHeight="1">
      <c r="B25" s="18"/>
      <c r="C25" s="10"/>
      <c r="D25" s="10"/>
      <c r="E25" s="22" t="s">
        <v>28</v>
      </c>
      <c r="F25" s="12">
        <v>7776451</v>
      </c>
      <c r="G25" s="12">
        <v>7512788.1299999999</v>
      </c>
      <c r="H25" s="12">
        <f>+F25-G25</f>
        <v>263662.87000000011</v>
      </c>
      <c r="I25" s="13"/>
      <c r="J25" s="12">
        <v>36750000</v>
      </c>
      <c r="K25" s="12"/>
      <c r="L25" s="12">
        <f>+J25-K25</f>
        <v>36750000</v>
      </c>
      <c r="M25" s="12"/>
      <c r="N25" s="12"/>
      <c r="O25" s="12"/>
      <c r="P25" s="12">
        <f>+N25-O25</f>
        <v>0</v>
      </c>
      <c r="Q25" s="13"/>
      <c r="R25" s="12">
        <f t="shared" si="6"/>
        <v>44526451</v>
      </c>
      <c r="S25" s="12">
        <f t="shared" si="6"/>
        <v>7512788.1299999999</v>
      </c>
      <c r="T25" s="14">
        <f>+R25-S25</f>
        <v>37013662.869999997</v>
      </c>
      <c r="U25" s="17">
        <f t="shared" si="5"/>
        <v>0.16872640781543535</v>
      </c>
    </row>
    <row r="26" spans="2:21" ht="27.75" customHeight="1">
      <c r="B26" s="18"/>
      <c r="C26" s="10"/>
      <c r="D26" s="10"/>
      <c r="E26" s="22" t="s">
        <v>29</v>
      </c>
      <c r="F26" s="12">
        <v>3860000</v>
      </c>
      <c r="G26" s="12">
        <v>4450667.5199999996</v>
      </c>
      <c r="H26" s="12">
        <f>+F26-G26</f>
        <v>-590667.51999999955</v>
      </c>
      <c r="I26" s="13"/>
      <c r="J26" s="12"/>
      <c r="K26" s="12"/>
      <c r="L26" s="12">
        <f>+J26-K26</f>
        <v>0</v>
      </c>
      <c r="M26" s="12"/>
      <c r="N26" s="12"/>
      <c r="O26" s="12">
        <v>277675.93</v>
      </c>
      <c r="P26" s="12">
        <f>+N26-O26</f>
        <v>-277675.93</v>
      </c>
      <c r="Q26" s="13"/>
      <c r="R26" s="12">
        <f t="shared" si="6"/>
        <v>3860000</v>
      </c>
      <c r="S26" s="12">
        <f t="shared" si="6"/>
        <v>4728343.4499999993</v>
      </c>
      <c r="T26" s="14">
        <f>+R26-S26</f>
        <v>-868343.44999999925</v>
      </c>
      <c r="U26" s="17">
        <f t="shared" si="5"/>
        <v>1.2249594430051811</v>
      </c>
    </row>
    <row r="27" spans="2:21" ht="24.95" customHeight="1">
      <c r="B27" s="18"/>
      <c r="C27" s="10"/>
      <c r="D27" s="10"/>
      <c r="E27" s="22"/>
      <c r="F27" s="12"/>
      <c r="G27" s="12"/>
      <c r="H27" s="12"/>
      <c r="I27" s="13"/>
      <c r="J27" s="12"/>
      <c r="K27" s="12"/>
      <c r="L27" s="12"/>
      <c r="M27" s="12"/>
      <c r="N27" s="12"/>
      <c r="O27" s="12"/>
      <c r="P27" s="12"/>
      <c r="Q27" s="13"/>
      <c r="R27" s="12"/>
      <c r="S27" s="12"/>
      <c r="T27" s="14"/>
      <c r="U27" s="17"/>
    </row>
    <row r="28" spans="2:21" ht="24.95" customHeight="1">
      <c r="B28" s="18"/>
      <c r="C28" s="20" t="s">
        <v>30</v>
      </c>
      <c r="D28" s="20"/>
      <c r="E28" s="10"/>
      <c r="F28" s="12"/>
      <c r="G28" s="12"/>
      <c r="H28" s="12"/>
      <c r="I28" s="13"/>
      <c r="J28" s="12"/>
      <c r="K28" s="12"/>
      <c r="L28" s="12"/>
      <c r="M28" s="12"/>
      <c r="N28" s="12"/>
      <c r="O28" s="12"/>
      <c r="P28" s="12"/>
      <c r="Q28" s="13"/>
      <c r="R28" s="12"/>
      <c r="S28" s="12"/>
      <c r="T28" s="14"/>
      <c r="U28" s="17"/>
    </row>
    <row r="29" spans="2:21" ht="24.95" customHeight="1">
      <c r="B29" s="18"/>
      <c r="C29" s="20"/>
      <c r="D29" s="20"/>
      <c r="E29" s="10" t="s">
        <v>31</v>
      </c>
      <c r="F29" s="23">
        <v>28531000</v>
      </c>
      <c r="G29" s="23">
        <v>21235867.640000001</v>
      </c>
      <c r="H29" s="12">
        <f>+F29-G29</f>
        <v>7295132.3599999994</v>
      </c>
      <c r="I29" s="13"/>
      <c r="J29" s="23">
        <v>56664297</v>
      </c>
      <c r="K29" s="23">
        <v>42826161.450000003</v>
      </c>
      <c r="L29" s="12">
        <f>+J29-K29</f>
        <v>13838135.549999997</v>
      </c>
      <c r="M29" s="12"/>
      <c r="N29" s="23">
        <v>1560609</v>
      </c>
      <c r="O29" s="23">
        <v>2444215.44</v>
      </c>
      <c r="P29" s="12">
        <f>+N29-O29</f>
        <v>-883606.44</v>
      </c>
      <c r="Q29" s="13"/>
      <c r="R29" s="12">
        <f t="shared" ref="R29:S32" si="7">+F29+J29+N29</f>
        <v>86755906</v>
      </c>
      <c r="S29" s="12">
        <f t="shared" si="7"/>
        <v>66506244.530000001</v>
      </c>
      <c r="T29" s="14">
        <f>+R29-S29</f>
        <v>20249661.469999999</v>
      </c>
      <c r="U29" s="17">
        <f t="shared" si="5"/>
        <v>0.76659039823755626</v>
      </c>
    </row>
    <row r="30" spans="2:21" ht="28.5" customHeight="1">
      <c r="B30" s="18"/>
      <c r="C30" s="10"/>
      <c r="D30" s="10"/>
      <c r="E30" s="22" t="s">
        <v>32</v>
      </c>
      <c r="F30" s="12">
        <v>42244048</v>
      </c>
      <c r="G30" s="12">
        <v>39403733.560000002</v>
      </c>
      <c r="H30" s="12">
        <f>+F30-G30</f>
        <v>2840314.4399999976</v>
      </c>
      <c r="I30" s="13"/>
      <c r="J30" s="12"/>
      <c r="K30" s="12"/>
      <c r="L30" s="12">
        <f>+J30-K30</f>
        <v>0</v>
      </c>
      <c r="M30" s="12"/>
      <c r="N30" s="12"/>
      <c r="O30" s="12"/>
      <c r="P30" s="12">
        <f>+N30-O30</f>
        <v>0</v>
      </c>
      <c r="Q30" s="13"/>
      <c r="R30" s="12">
        <f t="shared" si="7"/>
        <v>42244048</v>
      </c>
      <c r="S30" s="12">
        <f t="shared" si="7"/>
        <v>39403733.560000002</v>
      </c>
      <c r="T30" s="14">
        <f>+R30-S30</f>
        <v>2840314.4399999976</v>
      </c>
      <c r="U30" s="17">
        <f t="shared" si="5"/>
        <v>0.93276415082190989</v>
      </c>
    </row>
    <row r="31" spans="2:21" ht="28.5" customHeight="1">
      <c r="B31" s="18"/>
      <c r="C31" s="10"/>
      <c r="D31" s="10"/>
      <c r="E31" s="22" t="s">
        <v>33</v>
      </c>
      <c r="F31" s="12">
        <v>26524000</v>
      </c>
      <c r="G31" s="12">
        <v>42391024.460000001</v>
      </c>
      <c r="H31" s="12">
        <f>+F31-G31</f>
        <v>-15867024.460000001</v>
      </c>
      <c r="I31" s="13"/>
      <c r="J31" s="12"/>
      <c r="K31" s="12"/>
      <c r="L31" s="12">
        <f>+J31-K31</f>
        <v>0</v>
      </c>
      <c r="M31" s="12"/>
      <c r="N31" s="12">
        <v>2493648.91</v>
      </c>
      <c r="O31" s="12">
        <v>2493648.91</v>
      </c>
      <c r="P31" s="12">
        <f>+N31-O31</f>
        <v>0</v>
      </c>
      <c r="Q31" s="13"/>
      <c r="R31" s="12">
        <f t="shared" si="7"/>
        <v>29017648.91</v>
      </c>
      <c r="S31" s="12">
        <f t="shared" si="7"/>
        <v>44884673.370000005</v>
      </c>
      <c r="T31" s="14">
        <f>+R31-S31</f>
        <v>-15867024.460000005</v>
      </c>
      <c r="U31" s="17">
        <f t="shared" si="5"/>
        <v>1.5468059975917603</v>
      </c>
    </row>
    <row r="32" spans="2:21" ht="28.5" customHeight="1">
      <c r="B32" s="18"/>
      <c r="C32" s="10"/>
      <c r="D32" s="10"/>
      <c r="E32" s="22" t="s">
        <v>34</v>
      </c>
      <c r="F32" s="12">
        <v>7457000</v>
      </c>
      <c r="G32" s="12">
        <v>4500601.63</v>
      </c>
      <c r="H32" s="12">
        <f>+F32-G32</f>
        <v>2956398.37</v>
      </c>
      <c r="I32" s="13"/>
      <c r="J32" s="12"/>
      <c r="K32" s="12"/>
      <c r="L32" s="12">
        <f>+J32-K32</f>
        <v>0</v>
      </c>
      <c r="M32" s="12"/>
      <c r="N32" s="12"/>
      <c r="O32" s="12"/>
      <c r="P32" s="12">
        <f>+N32-O32</f>
        <v>0</v>
      </c>
      <c r="Q32" s="13"/>
      <c r="R32" s="12">
        <f t="shared" si="7"/>
        <v>7457000</v>
      </c>
      <c r="S32" s="12">
        <f t="shared" si="7"/>
        <v>4500601.63</v>
      </c>
      <c r="T32" s="14">
        <f>+R32-S32</f>
        <v>2956398.37</v>
      </c>
      <c r="U32" s="17">
        <f t="shared" si="5"/>
        <v>0.60354051629341554</v>
      </c>
    </row>
    <row r="33" spans="2:23" ht="27.75" customHeight="1">
      <c r="B33" s="18"/>
      <c r="C33" s="10"/>
      <c r="D33" s="10"/>
      <c r="E33" s="22"/>
      <c r="F33" s="12"/>
      <c r="G33" s="12"/>
      <c r="H33" s="12"/>
      <c r="I33" s="13"/>
      <c r="J33" s="12"/>
      <c r="K33" s="12"/>
      <c r="L33" s="12"/>
      <c r="M33" s="12"/>
      <c r="N33" s="12"/>
      <c r="O33" s="12"/>
      <c r="P33" s="12"/>
      <c r="Q33" s="13"/>
      <c r="R33" s="12"/>
      <c r="S33" s="12"/>
      <c r="T33" s="14"/>
      <c r="U33" s="17"/>
    </row>
    <row r="34" spans="2:23" ht="24.95" customHeight="1">
      <c r="B34" s="18"/>
      <c r="C34" s="24" t="s">
        <v>35</v>
      </c>
      <c r="D34" s="10"/>
      <c r="E34" s="22"/>
      <c r="F34" s="12"/>
      <c r="G34" s="12"/>
      <c r="H34" s="12"/>
      <c r="I34" s="13"/>
      <c r="J34" s="12"/>
      <c r="K34" s="12"/>
      <c r="L34" s="12"/>
      <c r="M34" s="12"/>
      <c r="N34" s="12"/>
      <c r="O34" s="12"/>
      <c r="P34" s="12"/>
      <c r="Q34" s="13"/>
      <c r="R34" s="12"/>
      <c r="S34" s="12"/>
      <c r="T34" s="14"/>
      <c r="U34" s="17"/>
    </row>
    <row r="35" spans="2:23" ht="24.95" customHeight="1">
      <c r="B35" s="18"/>
      <c r="C35" s="10"/>
      <c r="D35" s="25" t="s">
        <v>36</v>
      </c>
      <c r="E35" s="26"/>
      <c r="F35" s="12">
        <v>25993000</v>
      </c>
      <c r="G35" s="12">
        <v>14295275.039999999</v>
      </c>
      <c r="H35" s="12">
        <f>+F35-G35</f>
        <v>11697724.960000001</v>
      </c>
      <c r="I35" s="13"/>
      <c r="J35" s="12"/>
      <c r="K35" s="12"/>
      <c r="L35" s="12">
        <f>+J35-K35</f>
        <v>0</v>
      </c>
      <c r="M35" s="12"/>
      <c r="N35" s="12"/>
      <c r="O35" s="12"/>
      <c r="P35" s="12">
        <f>+N35-O35</f>
        <v>0</v>
      </c>
      <c r="Q35" s="13"/>
      <c r="R35" s="12">
        <f t="shared" ref="R35:S46" si="8">+F35+J35+N35</f>
        <v>25993000</v>
      </c>
      <c r="S35" s="12">
        <f t="shared" si="8"/>
        <v>14295275.039999999</v>
      </c>
      <c r="T35" s="14">
        <f>+R35-S35</f>
        <v>11697724.960000001</v>
      </c>
      <c r="U35" s="17">
        <f t="shared" si="5"/>
        <v>0.54996633862963107</v>
      </c>
    </row>
    <row r="36" spans="2:23" ht="24.95" customHeight="1">
      <c r="B36" s="18"/>
      <c r="C36" s="10"/>
      <c r="D36" s="27" t="s">
        <v>37</v>
      </c>
      <c r="E36" s="22"/>
      <c r="F36" s="12">
        <v>106115500</v>
      </c>
      <c r="G36" s="12">
        <v>104794047.76000001</v>
      </c>
      <c r="H36" s="12">
        <f>+F36-G36</f>
        <v>1321452.2399999946</v>
      </c>
      <c r="I36" s="13"/>
      <c r="J36" s="12">
        <v>3221789.87</v>
      </c>
      <c r="K36" s="12">
        <v>1135236.42</v>
      </c>
      <c r="L36" s="12">
        <f>+J36-K36</f>
        <v>2086553.4500000002</v>
      </c>
      <c r="M36" s="12"/>
      <c r="N36" s="12">
        <v>261614.69</v>
      </c>
      <c r="O36" s="12"/>
      <c r="P36" s="12">
        <f>+N36-O36</f>
        <v>261614.69</v>
      </c>
      <c r="Q36" s="13"/>
      <c r="R36" s="12">
        <f t="shared" si="8"/>
        <v>109598904.56</v>
      </c>
      <c r="S36" s="12">
        <f t="shared" si="8"/>
        <v>105929284.18000001</v>
      </c>
      <c r="T36" s="14">
        <f>+R36-S36</f>
        <v>3669620.3799999952</v>
      </c>
      <c r="U36" s="17">
        <f t="shared" si="5"/>
        <v>0.9665177275746305</v>
      </c>
    </row>
    <row r="37" spans="2:23" ht="24.95" customHeight="1">
      <c r="B37" s="18"/>
      <c r="C37" s="10"/>
      <c r="D37" s="28" t="s">
        <v>38</v>
      </c>
      <c r="E37" s="22"/>
      <c r="F37" s="12">
        <v>56438000</v>
      </c>
      <c r="G37" s="12">
        <v>33841978.760000005</v>
      </c>
      <c r="H37" s="12">
        <f>+F37-G37</f>
        <v>22596021.239999995</v>
      </c>
      <c r="I37" s="13"/>
      <c r="J37" s="12"/>
      <c r="K37" s="12"/>
      <c r="L37" s="12">
        <f>+J37-K37</f>
        <v>0</v>
      </c>
      <c r="M37" s="12"/>
      <c r="N37" s="12">
        <v>1689820</v>
      </c>
      <c r="O37" s="12">
        <v>796955.41</v>
      </c>
      <c r="P37" s="12">
        <f>+N37-O37</f>
        <v>892864.59</v>
      </c>
      <c r="Q37" s="13"/>
      <c r="R37" s="12">
        <f t="shared" si="8"/>
        <v>58127820</v>
      </c>
      <c r="S37" s="12">
        <f t="shared" si="8"/>
        <v>34638934.170000002</v>
      </c>
      <c r="T37" s="14">
        <f>+R37-S37</f>
        <v>23488885.829999998</v>
      </c>
      <c r="U37" s="17">
        <f t="shared" si="5"/>
        <v>0.59590974115320339</v>
      </c>
    </row>
    <row r="38" spans="2:23" ht="24.95" customHeight="1">
      <c r="B38" s="18"/>
      <c r="C38" s="10"/>
      <c r="D38" s="28" t="s">
        <v>39</v>
      </c>
      <c r="E38" s="22"/>
      <c r="F38" s="12">
        <v>73143202.75</v>
      </c>
      <c r="G38" s="12">
        <v>49081038.5</v>
      </c>
      <c r="H38" s="12">
        <f>+F38-G38</f>
        <v>24062164.25</v>
      </c>
      <c r="I38" s="13"/>
      <c r="J38" s="12"/>
      <c r="K38" s="12"/>
      <c r="L38" s="12">
        <f>+J38-K38</f>
        <v>0</v>
      </c>
      <c r="M38" s="12"/>
      <c r="N38" s="12">
        <v>1417361</v>
      </c>
      <c r="O38" s="12">
        <v>294194.01</v>
      </c>
      <c r="P38" s="12">
        <f>+N38-O38</f>
        <v>1123166.99</v>
      </c>
      <c r="Q38" s="13"/>
      <c r="R38" s="12">
        <f t="shared" si="8"/>
        <v>74560563.75</v>
      </c>
      <c r="S38" s="12">
        <f t="shared" si="8"/>
        <v>49375232.509999998</v>
      </c>
      <c r="T38" s="14">
        <f>+R38-S38</f>
        <v>25185331.240000002</v>
      </c>
      <c r="U38" s="17">
        <f t="shared" si="5"/>
        <v>0.66221645903260751</v>
      </c>
    </row>
    <row r="39" spans="2:23" ht="24.95" customHeight="1">
      <c r="B39" s="18"/>
      <c r="C39" s="10"/>
      <c r="D39" s="28" t="s">
        <v>40</v>
      </c>
      <c r="E39" s="22"/>
      <c r="F39" s="12">
        <v>105513054</v>
      </c>
      <c r="G39" s="12">
        <v>85172626.24000001</v>
      </c>
      <c r="H39" s="12">
        <f t="shared" ref="H39:H44" si="9">+F39-G39</f>
        <v>20340427.75999999</v>
      </c>
      <c r="I39" s="13"/>
      <c r="J39" s="12"/>
      <c r="K39" s="12"/>
      <c r="L39" s="12">
        <f t="shared" ref="L39:L44" si="10">+J39-K39</f>
        <v>0</v>
      </c>
      <c r="M39" s="12"/>
      <c r="N39" s="12"/>
      <c r="O39" s="12"/>
      <c r="P39" s="12">
        <f t="shared" ref="P39:P44" si="11">+N39-O39</f>
        <v>0</v>
      </c>
      <c r="Q39" s="13"/>
      <c r="R39" s="12">
        <f t="shared" si="8"/>
        <v>105513054</v>
      </c>
      <c r="S39" s="12">
        <f t="shared" si="8"/>
        <v>85172626.24000001</v>
      </c>
      <c r="T39" s="14">
        <f t="shared" ref="T39:T46" si="12">+R39-S39</f>
        <v>20340427.75999999</v>
      </c>
      <c r="U39" s="17">
        <f t="shared" si="5"/>
        <v>0.80722358998347266</v>
      </c>
    </row>
    <row r="40" spans="2:23" ht="24.95" customHeight="1">
      <c r="B40" s="18"/>
      <c r="C40" s="10"/>
      <c r="D40" s="28" t="s">
        <v>41</v>
      </c>
      <c r="E40" s="22"/>
      <c r="F40" s="12">
        <v>24510500</v>
      </c>
      <c r="G40" s="12">
        <v>17504507.359999999</v>
      </c>
      <c r="H40" s="12">
        <f t="shared" si="9"/>
        <v>7005992.6400000006</v>
      </c>
      <c r="I40" s="13"/>
      <c r="J40" s="12"/>
      <c r="K40" s="12"/>
      <c r="L40" s="12">
        <f t="shared" si="10"/>
        <v>0</v>
      </c>
      <c r="M40" s="12"/>
      <c r="N40" s="12"/>
      <c r="O40" s="12"/>
      <c r="P40" s="12">
        <f t="shared" si="11"/>
        <v>0</v>
      </c>
      <c r="Q40" s="13"/>
      <c r="R40" s="12">
        <f t="shared" si="8"/>
        <v>24510500</v>
      </c>
      <c r="S40" s="12">
        <f t="shared" si="8"/>
        <v>17504507.359999999</v>
      </c>
      <c r="T40" s="14">
        <f t="shared" si="12"/>
        <v>7005992.6400000006</v>
      </c>
      <c r="U40" s="17">
        <f t="shared" si="5"/>
        <v>0.71416361804124762</v>
      </c>
    </row>
    <row r="41" spans="2:23" ht="24.95" customHeight="1">
      <c r="B41" s="18"/>
      <c r="C41" s="10"/>
      <c r="D41" s="28" t="s">
        <v>42</v>
      </c>
      <c r="E41" s="22"/>
      <c r="F41" s="12">
        <v>60063500</v>
      </c>
      <c r="G41" s="12">
        <v>43274125.18</v>
      </c>
      <c r="H41" s="12">
        <f t="shared" si="9"/>
        <v>16789374.82</v>
      </c>
      <c r="I41" s="13"/>
      <c r="J41" s="12"/>
      <c r="K41" s="12"/>
      <c r="L41" s="12">
        <f t="shared" si="10"/>
        <v>0</v>
      </c>
      <c r="M41" s="12"/>
      <c r="N41" s="12">
        <v>2109705</v>
      </c>
      <c r="O41" s="12">
        <v>870556.06</v>
      </c>
      <c r="P41" s="12">
        <f t="shared" si="11"/>
        <v>1239148.94</v>
      </c>
      <c r="Q41" s="13"/>
      <c r="R41" s="12">
        <f t="shared" si="8"/>
        <v>62173205</v>
      </c>
      <c r="S41" s="12">
        <f t="shared" si="8"/>
        <v>44144681.240000002</v>
      </c>
      <c r="T41" s="14">
        <f t="shared" si="12"/>
        <v>18028523.759999998</v>
      </c>
      <c r="U41" s="17">
        <f t="shared" si="5"/>
        <v>0.71002743448725225</v>
      </c>
    </row>
    <row r="42" spans="2:23" ht="24.95" customHeight="1">
      <c r="B42" s="18"/>
      <c r="C42" s="10"/>
      <c r="D42" s="25" t="s">
        <v>43</v>
      </c>
      <c r="E42" s="22"/>
      <c r="F42" s="12">
        <v>30890000</v>
      </c>
      <c r="G42" s="12">
        <v>26422690.77</v>
      </c>
      <c r="H42" s="12">
        <f t="shared" si="9"/>
        <v>4467309.2300000004</v>
      </c>
      <c r="I42" s="13">
        <v>2208000</v>
      </c>
      <c r="J42" s="12"/>
      <c r="K42" s="12"/>
      <c r="L42" s="12">
        <f t="shared" si="10"/>
        <v>0</v>
      </c>
      <c r="M42" s="12"/>
      <c r="N42" s="12">
        <v>1169733</v>
      </c>
      <c r="O42" s="12"/>
      <c r="P42" s="12">
        <f t="shared" si="11"/>
        <v>1169733</v>
      </c>
      <c r="Q42" s="13"/>
      <c r="R42" s="12">
        <f t="shared" si="8"/>
        <v>32059733</v>
      </c>
      <c r="S42" s="12">
        <f t="shared" si="8"/>
        <v>26422690.77</v>
      </c>
      <c r="T42" s="14">
        <f t="shared" si="12"/>
        <v>5637042.2300000004</v>
      </c>
      <c r="U42" s="17">
        <f t="shared" si="5"/>
        <v>0.82417064328015455</v>
      </c>
    </row>
    <row r="43" spans="2:23" ht="24.95" customHeight="1">
      <c r="B43" s="18"/>
      <c r="C43" s="10"/>
      <c r="D43" s="27" t="s">
        <v>44</v>
      </c>
      <c r="E43" s="22"/>
      <c r="F43" s="12">
        <v>40106500</v>
      </c>
      <c r="G43" s="12">
        <v>42966941.869999997</v>
      </c>
      <c r="H43" s="12">
        <f t="shared" si="9"/>
        <v>-2860441.8699999973</v>
      </c>
      <c r="I43" s="13"/>
      <c r="J43" s="12"/>
      <c r="K43" s="12"/>
      <c r="L43" s="12">
        <f t="shared" si="10"/>
        <v>0</v>
      </c>
      <c r="M43" s="12"/>
      <c r="N43" s="12"/>
      <c r="O43" s="12"/>
      <c r="P43" s="12">
        <f t="shared" si="11"/>
        <v>0</v>
      </c>
      <c r="Q43" s="13"/>
      <c r="R43" s="12">
        <f t="shared" si="8"/>
        <v>40106500</v>
      </c>
      <c r="S43" s="12">
        <f t="shared" si="8"/>
        <v>42966941.869999997</v>
      </c>
      <c r="T43" s="14">
        <f t="shared" si="12"/>
        <v>-2860441.8699999973</v>
      </c>
      <c r="U43" s="17">
        <f t="shared" si="5"/>
        <v>1.0713211541770036</v>
      </c>
    </row>
    <row r="44" spans="2:23" ht="24.95" customHeight="1">
      <c r="B44" s="18"/>
      <c r="C44" s="10"/>
      <c r="D44" s="28" t="s">
        <v>45</v>
      </c>
      <c r="E44" s="22"/>
      <c r="F44" s="12">
        <v>31429000</v>
      </c>
      <c r="G44" s="12">
        <f>30132072.58+174800.66</f>
        <v>30306873.239999998</v>
      </c>
      <c r="H44" s="12">
        <f t="shared" si="9"/>
        <v>1122126.7600000016</v>
      </c>
      <c r="I44" s="13"/>
      <c r="J44" s="12"/>
      <c r="K44" s="12"/>
      <c r="L44" s="12">
        <f t="shared" si="10"/>
        <v>0</v>
      </c>
      <c r="M44" s="12"/>
      <c r="N44" s="12">
        <v>78746</v>
      </c>
      <c r="O44" s="12">
        <v>10650289.85</v>
      </c>
      <c r="P44" s="12">
        <f t="shared" si="11"/>
        <v>-10571543.85</v>
      </c>
      <c r="Q44" s="13"/>
      <c r="R44" s="12">
        <f t="shared" si="8"/>
        <v>31507746</v>
      </c>
      <c r="S44" s="12">
        <f t="shared" si="8"/>
        <v>40957163.089999996</v>
      </c>
      <c r="T44" s="14">
        <f t="shared" si="12"/>
        <v>-9449417.0899999961</v>
      </c>
      <c r="U44" s="17">
        <f t="shared" si="5"/>
        <v>1.2999077461777175</v>
      </c>
    </row>
    <row r="45" spans="2:23" ht="24.95" customHeight="1">
      <c r="B45" s="18"/>
      <c r="C45" s="10"/>
      <c r="D45" s="29" t="s">
        <v>46</v>
      </c>
      <c r="E45" s="22"/>
      <c r="F45" s="12">
        <v>62538000</v>
      </c>
      <c r="G45" s="12">
        <v>44278074.549999997</v>
      </c>
      <c r="H45" s="12">
        <f>+F45-G45</f>
        <v>18259925.450000003</v>
      </c>
      <c r="I45" s="13"/>
      <c r="J45" s="12"/>
      <c r="K45" s="12"/>
      <c r="L45" s="12">
        <f>+J45-K45</f>
        <v>0</v>
      </c>
      <c r="M45" s="12"/>
      <c r="N45" s="12"/>
      <c r="O45" s="12"/>
      <c r="P45" s="12">
        <f>+N45-O45</f>
        <v>0</v>
      </c>
      <c r="Q45" s="13"/>
      <c r="R45" s="12">
        <f>+F45+J45+N45</f>
        <v>62538000</v>
      </c>
      <c r="S45" s="12">
        <f t="shared" si="8"/>
        <v>44278074.549999997</v>
      </c>
      <c r="T45" s="14">
        <f t="shared" si="12"/>
        <v>18259925.450000003</v>
      </c>
      <c r="U45" s="17">
        <f t="shared" si="5"/>
        <v>0.70801871741980871</v>
      </c>
      <c r="W45" s="30"/>
    </row>
    <row r="46" spans="2:23" ht="24.95" customHeight="1">
      <c r="B46" s="18"/>
      <c r="C46" s="10"/>
      <c r="D46" s="25" t="s">
        <v>47</v>
      </c>
      <c r="E46" s="22"/>
      <c r="F46" s="12">
        <v>39736500</v>
      </c>
      <c r="G46" s="12">
        <v>15812314.32</v>
      </c>
      <c r="H46" s="12">
        <f>+F46-G46</f>
        <v>23924185.68</v>
      </c>
      <c r="I46" s="13"/>
      <c r="J46" s="12"/>
      <c r="K46" s="12"/>
      <c r="L46" s="12">
        <f>+J46-K46</f>
        <v>0</v>
      </c>
      <c r="M46" s="12"/>
      <c r="N46" s="12"/>
      <c r="O46" s="12"/>
      <c r="P46" s="12">
        <f>+N46-O46</f>
        <v>0</v>
      </c>
      <c r="Q46" s="13"/>
      <c r="R46" s="12">
        <f>+F46+J46+N46</f>
        <v>39736500</v>
      </c>
      <c r="S46" s="12">
        <f t="shared" si="8"/>
        <v>15812314.32</v>
      </c>
      <c r="T46" s="14">
        <f t="shared" si="12"/>
        <v>23924185.68</v>
      </c>
      <c r="U46" s="17">
        <f t="shared" si="5"/>
        <v>0.39792921671511078</v>
      </c>
    </row>
    <row r="47" spans="2:23" ht="27.75" customHeight="1">
      <c r="B47" s="18"/>
      <c r="C47" s="10"/>
      <c r="D47" s="10"/>
      <c r="E47" s="22"/>
      <c r="F47" s="12"/>
      <c r="G47" s="12"/>
      <c r="H47" s="12"/>
      <c r="I47" s="13"/>
      <c r="J47" s="12"/>
      <c r="K47" s="12"/>
      <c r="L47" s="12"/>
      <c r="M47" s="12"/>
      <c r="N47" s="12"/>
      <c r="O47" s="12"/>
      <c r="P47" s="12"/>
      <c r="Q47" s="13"/>
      <c r="R47" s="12"/>
      <c r="S47" s="12"/>
      <c r="T47" s="14"/>
      <c r="U47" s="17"/>
    </row>
    <row r="48" spans="2:23" ht="24.95" customHeight="1">
      <c r="B48" s="18"/>
      <c r="C48" s="24" t="s">
        <v>48</v>
      </c>
      <c r="D48" s="10"/>
      <c r="E48" s="22"/>
      <c r="F48" s="12"/>
      <c r="G48" s="12"/>
      <c r="H48" s="12"/>
      <c r="I48" s="13"/>
      <c r="J48" s="12"/>
      <c r="K48" s="12"/>
      <c r="L48" s="12"/>
      <c r="M48" s="12"/>
      <c r="N48" s="12"/>
      <c r="O48" s="12"/>
      <c r="P48" s="12"/>
      <c r="Q48" s="13"/>
      <c r="R48" s="12"/>
      <c r="S48" s="12"/>
      <c r="T48" s="14"/>
      <c r="U48" s="17"/>
    </row>
    <row r="49" spans="2:21" ht="24.95" customHeight="1">
      <c r="B49" s="18"/>
      <c r="C49" s="10"/>
      <c r="D49" s="10"/>
      <c r="E49" s="10" t="s">
        <v>49</v>
      </c>
      <c r="F49" s="12">
        <v>19402000</v>
      </c>
      <c r="G49" s="12">
        <v>8503040.8800000008</v>
      </c>
      <c r="H49" s="12">
        <f>+F49-G49</f>
        <v>10898959.119999999</v>
      </c>
      <c r="I49" s="13"/>
      <c r="J49" s="12"/>
      <c r="K49" s="12"/>
      <c r="L49" s="12">
        <f>+J49-K49</f>
        <v>0</v>
      </c>
      <c r="M49" s="12"/>
      <c r="N49" s="12"/>
      <c r="O49" s="12"/>
      <c r="P49" s="12">
        <f>+N49-O49</f>
        <v>0</v>
      </c>
      <c r="Q49" s="13"/>
      <c r="R49" s="12">
        <f>+F49+J49+N49</f>
        <v>19402000</v>
      </c>
      <c r="S49" s="12">
        <f>+G49+K49+O49</f>
        <v>8503040.8800000008</v>
      </c>
      <c r="T49" s="14">
        <f>+R49-S49</f>
        <v>10898959.119999999</v>
      </c>
      <c r="U49" s="17">
        <f t="shared" si="5"/>
        <v>0.43825589526852904</v>
      </c>
    </row>
    <row r="50" spans="2:21" ht="24.95" customHeight="1">
      <c r="B50" s="18"/>
      <c r="C50" s="10"/>
      <c r="D50" s="10"/>
      <c r="E50" s="10" t="s">
        <v>50</v>
      </c>
      <c r="F50" s="12">
        <v>42544000</v>
      </c>
      <c r="G50" s="12">
        <v>22217721.719999999</v>
      </c>
      <c r="H50" s="12">
        <f>+F50-G50</f>
        <v>20326278.280000001</v>
      </c>
      <c r="I50" s="13"/>
      <c r="J50" s="12"/>
      <c r="K50" s="12"/>
      <c r="L50" s="12">
        <f>+J50-K50</f>
        <v>0</v>
      </c>
      <c r="M50" s="12"/>
      <c r="N50" s="12">
        <v>242469</v>
      </c>
      <c r="O50" s="12">
        <v>190941.01</v>
      </c>
      <c r="P50" s="12">
        <f>+N50-O50</f>
        <v>51527.989999999991</v>
      </c>
      <c r="Q50" s="13"/>
      <c r="R50" s="12">
        <f>+F50+J50+N50</f>
        <v>42786469</v>
      </c>
      <c r="S50" s="12">
        <f>+G50+K50+O50</f>
        <v>22408662.73</v>
      </c>
      <c r="T50" s="14">
        <f>+R50-S50</f>
        <v>20377806.27</v>
      </c>
      <c r="U50" s="17">
        <f t="shared" si="5"/>
        <v>0.52373246154058661</v>
      </c>
    </row>
    <row r="51" spans="2:21" ht="27.75" customHeight="1">
      <c r="B51" s="18"/>
      <c r="C51" s="10"/>
      <c r="D51" s="10"/>
      <c r="E51" s="31" t="s">
        <v>51</v>
      </c>
      <c r="F51" s="32">
        <f t="shared" ref="F51:T51" si="13">SUM(F13:F48)</f>
        <v>992466226.94000006</v>
      </c>
      <c r="G51" s="32">
        <f t="shared" si="13"/>
        <v>795943330.41999996</v>
      </c>
      <c r="H51" s="32">
        <f t="shared" si="13"/>
        <v>196522896.51999998</v>
      </c>
      <c r="I51" s="32">
        <f t="shared" si="13"/>
        <v>2208000</v>
      </c>
      <c r="J51" s="32">
        <f>SUM(J13:J48)</f>
        <v>96636086.870000005</v>
      </c>
      <c r="K51" s="32">
        <f>SUM(K13:K48)</f>
        <v>43961397.870000005</v>
      </c>
      <c r="L51" s="32">
        <f>SUM(L13:L48)</f>
        <v>52674689</v>
      </c>
      <c r="M51" s="32">
        <f t="shared" si="13"/>
        <v>0</v>
      </c>
      <c r="N51" s="32">
        <f>SUM(N13:N48)</f>
        <v>70779342.599999994</v>
      </c>
      <c r="O51" s="32">
        <f>SUM(O13:O48)</f>
        <v>24541566.530000001</v>
      </c>
      <c r="P51" s="32">
        <f>SUM(P13:P48)</f>
        <v>46237776.07</v>
      </c>
      <c r="Q51" s="32">
        <f t="shared" si="13"/>
        <v>0</v>
      </c>
      <c r="R51" s="32">
        <f t="shared" si="13"/>
        <v>1159881656.4100001</v>
      </c>
      <c r="S51" s="32">
        <f t="shared" si="13"/>
        <v>864446294.82000017</v>
      </c>
      <c r="T51" s="32">
        <f t="shared" si="13"/>
        <v>295435361.58999997</v>
      </c>
      <c r="U51" s="17">
        <f t="shared" si="5"/>
        <v>0.74528835768951229</v>
      </c>
    </row>
    <row r="52" spans="2:21" ht="27.75" customHeight="1">
      <c r="B52" s="18"/>
      <c r="C52" s="10"/>
      <c r="D52" s="10"/>
      <c r="E52" s="31"/>
      <c r="F52" s="32"/>
      <c r="G52" s="32"/>
      <c r="H52" s="32"/>
      <c r="I52" s="33"/>
      <c r="J52" s="32"/>
      <c r="K52" s="32"/>
      <c r="L52" s="32"/>
      <c r="M52" s="32"/>
      <c r="N52" s="32"/>
      <c r="O52" s="32"/>
      <c r="P52" s="32"/>
      <c r="Q52" s="33"/>
      <c r="R52" s="32"/>
      <c r="S52" s="32"/>
      <c r="T52" s="34"/>
      <c r="U52" s="17"/>
    </row>
    <row r="53" spans="2:21" ht="24.95" customHeight="1">
      <c r="B53" s="18"/>
      <c r="C53" s="24" t="s">
        <v>52</v>
      </c>
      <c r="D53" s="10"/>
      <c r="E53" s="22"/>
      <c r="F53" s="12">
        <f>SUM(F55:F80)</f>
        <v>426148962</v>
      </c>
      <c r="G53" s="12">
        <f t="shared" ref="G53:T53" si="14">SUM(G55:G80)</f>
        <v>348599110.15000004</v>
      </c>
      <c r="H53" s="12">
        <f t="shared" si="14"/>
        <v>77549851.849999994</v>
      </c>
      <c r="I53" s="12">
        <f t="shared" si="14"/>
        <v>0</v>
      </c>
      <c r="J53" s="12">
        <f>SUM(J55:J80)</f>
        <v>61313665</v>
      </c>
      <c r="K53" s="12">
        <f>SUM(K55:K80)</f>
        <v>50744241.859999999</v>
      </c>
      <c r="L53" s="12">
        <f>SUM(L55:L80)</f>
        <v>10569423.139999999</v>
      </c>
      <c r="M53" s="12">
        <f t="shared" si="14"/>
        <v>0</v>
      </c>
      <c r="N53" s="12">
        <f>SUM(N55:N80)</f>
        <v>2814919</v>
      </c>
      <c r="O53" s="12">
        <f>SUM(O55:O80)</f>
        <v>2740964.0999999996</v>
      </c>
      <c r="P53" s="12">
        <f>SUM(P55:P80)</f>
        <v>73954.900000000009</v>
      </c>
      <c r="Q53" s="12">
        <f t="shared" si="14"/>
        <v>0</v>
      </c>
      <c r="R53" s="12">
        <f t="shared" si="14"/>
        <v>490277546</v>
      </c>
      <c r="S53" s="12">
        <f t="shared" si="14"/>
        <v>402084316.11000007</v>
      </c>
      <c r="T53" s="14">
        <f t="shared" si="14"/>
        <v>88193229.890000015</v>
      </c>
      <c r="U53" s="17">
        <f>+S53/R53</f>
        <v>0.82011570668586176</v>
      </c>
    </row>
    <row r="54" spans="2:21" ht="24.95" customHeight="1">
      <c r="B54" s="18"/>
      <c r="C54" s="20" t="s">
        <v>53</v>
      </c>
      <c r="D54" s="20"/>
      <c r="E54" s="10"/>
      <c r="F54" s="12"/>
      <c r="G54" s="12"/>
      <c r="H54" s="12">
        <f t="shared" ref="H54:H59" si="15">+F54-G54</f>
        <v>0</v>
      </c>
      <c r="I54" s="13"/>
      <c r="J54" s="12"/>
      <c r="K54" s="12"/>
      <c r="L54" s="12">
        <f t="shared" ref="L54:L59" si="16">+J54-K54</f>
        <v>0</v>
      </c>
      <c r="M54" s="12"/>
      <c r="N54" s="12"/>
      <c r="O54" s="12"/>
      <c r="P54" s="12">
        <f t="shared" ref="P54:P59" si="17">+N54-O54</f>
        <v>0</v>
      </c>
      <c r="Q54" s="13"/>
      <c r="R54" s="12"/>
      <c r="S54" s="12"/>
      <c r="T54" s="14"/>
      <c r="U54" s="17"/>
    </row>
    <row r="55" spans="2:21" ht="24.95" customHeight="1">
      <c r="B55" s="18"/>
      <c r="C55" s="20"/>
      <c r="D55" s="20"/>
      <c r="E55" s="10" t="s">
        <v>54</v>
      </c>
      <c r="F55" s="35">
        <v>50454000</v>
      </c>
      <c r="G55" s="36">
        <v>25937807.059999999</v>
      </c>
      <c r="H55" s="12">
        <f t="shared" si="15"/>
        <v>24516192.940000001</v>
      </c>
      <c r="I55" s="13"/>
      <c r="J55" s="35"/>
      <c r="K55" s="36"/>
      <c r="L55" s="12">
        <f t="shared" si="16"/>
        <v>0</v>
      </c>
      <c r="M55" s="12"/>
      <c r="N55" s="35"/>
      <c r="O55" s="36"/>
      <c r="P55" s="12">
        <f t="shared" si="17"/>
        <v>0</v>
      </c>
      <c r="Q55" s="13"/>
      <c r="R55" s="12">
        <f>+F55+J55+N55</f>
        <v>50454000</v>
      </c>
      <c r="S55" s="12">
        <f t="shared" ref="R55:S59" si="18">+G55+K55+O55</f>
        <v>25937807.059999999</v>
      </c>
      <c r="T55" s="14">
        <f>+R55-S55</f>
        <v>24516192.940000001</v>
      </c>
      <c r="U55" s="17">
        <f t="shared" si="5"/>
        <v>0.51408822016093869</v>
      </c>
    </row>
    <row r="56" spans="2:21" ht="30" customHeight="1">
      <c r="B56" s="18"/>
      <c r="C56" s="10"/>
      <c r="D56" s="10"/>
      <c r="E56" s="21" t="s">
        <v>55</v>
      </c>
      <c r="F56" s="36">
        <v>40399000</v>
      </c>
      <c r="G56" s="37">
        <v>46681082.25</v>
      </c>
      <c r="H56" s="12">
        <f t="shared" si="15"/>
        <v>-6282082.25</v>
      </c>
      <c r="I56" s="13"/>
      <c r="J56" s="36"/>
      <c r="K56" s="37"/>
      <c r="L56" s="12">
        <f t="shared" si="16"/>
        <v>0</v>
      </c>
      <c r="M56" s="38"/>
      <c r="N56" s="36">
        <v>234787</v>
      </c>
      <c r="O56" s="37">
        <v>234787</v>
      </c>
      <c r="P56" s="12">
        <f t="shared" si="17"/>
        <v>0</v>
      </c>
      <c r="Q56" s="39"/>
      <c r="R56" s="38">
        <f t="shared" si="18"/>
        <v>40633787</v>
      </c>
      <c r="S56" s="38">
        <f t="shared" si="18"/>
        <v>46915869.25</v>
      </c>
      <c r="T56" s="40">
        <f>+R56-S56</f>
        <v>-6282082.25</v>
      </c>
      <c r="U56" s="17">
        <f t="shared" si="5"/>
        <v>1.15460243097696</v>
      </c>
    </row>
    <row r="57" spans="2:21" ht="30" customHeight="1">
      <c r="B57" s="18"/>
      <c r="C57" s="10"/>
      <c r="D57" s="10"/>
      <c r="E57" s="21" t="s">
        <v>56</v>
      </c>
      <c r="F57" s="12">
        <v>5131000</v>
      </c>
      <c r="G57" s="12">
        <v>5919657.2800000003</v>
      </c>
      <c r="H57" s="12">
        <f t="shared" si="15"/>
        <v>-788657.28000000026</v>
      </c>
      <c r="I57" s="13"/>
      <c r="J57" s="12"/>
      <c r="K57" s="12"/>
      <c r="L57" s="12">
        <f t="shared" si="16"/>
        <v>0</v>
      </c>
      <c r="M57" s="12"/>
      <c r="N57" s="12"/>
      <c r="O57" s="12"/>
      <c r="P57" s="12">
        <f t="shared" si="17"/>
        <v>0</v>
      </c>
      <c r="Q57" s="13"/>
      <c r="R57" s="12">
        <f t="shared" si="18"/>
        <v>5131000</v>
      </c>
      <c r="S57" s="12">
        <f t="shared" si="18"/>
        <v>5919657.2800000003</v>
      </c>
      <c r="T57" s="14">
        <f>+R57-S57</f>
        <v>-788657.28000000026</v>
      </c>
      <c r="U57" s="17">
        <f t="shared" si="5"/>
        <v>1.1537044007016177</v>
      </c>
    </row>
    <row r="58" spans="2:21" ht="24.95" customHeight="1">
      <c r="B58" s="18"/>
      <c r="C58" s="10"/>
      <c r="D58" s="10"/>
      <c r="E58" s="28" t="s">
        <v>57</v>
      </c>
      <c r="F58" s="12">
        <v>1939000</v>
      </c>
      <c r="G58" s="12">
        <v>2187730.75</v>
      </c>
      <c r="H58" s="12">
        <f t="shared" si="15"/>
        <v>-248730.75</v>
      </c>
      <c r="I58" s="13"/>
      <c r="J58" s="12"/>
      <c r="K58" s="12"/>
      <c r="L58" s="12">
        <f t="shared" si="16"/>
        <v>0</v>
      </c>
      <c r="M58" s="12"/>
      <c r="N58" s="12"/>
      <c r="O58" s="12"/>
      <c r="P58" s="12">
        <f t="shared" si="17"/>
        <v>0</v>
      </c>
      <c r="Q58" s="13"/>
      <c r="R58" s="12">
        <f t="shared" si="18"/>
        <v>1939000</v>
      </c>
      <c r="S58" s="12">
        <f t="shared" si="18"/>
        <v>2187730.75</v>
      </c>
      <c r="T58" s="14">
        <f>+R58-S58</f>
        <v>-248730.75</v>
      </c>
      <c r="U58" s="17">
        <f t="shared" si="5"/>
        <v>1.1282778494069108</v>
      </c>
    </row>
    <row r="59" spans="2:21" ht="29.25" customHeight="1">
      <c r="B59" s="18"/>
      <c r="C59" s="10"/>
      <c r="D59" s="10"/>
      <c r="E59" s="21" t="s">
        <v>58</v>
      </c>
      <c r="F59" s="12">
        <v>3064000</v>
      </c>
      <c r="G59" s="12">
        <v>3029647.9</v>
      </c>
      <c r="H59" s="12">
        <f t="shared" si="15"/>
        <v>34352.100000000093</v>
      </c>
      <c r="I59" s="13"/>
      <c r="J59" s="12"/>
      <c r="K59" s="12"/>
      <c r="L59" s="12">
        <f t="shared" si="16"/>
        <v>0</v>
      </c>
      <c r="M59" s="12"/>
      <c r="N59" s="12"/>
      <c r="O59" s="12"/>
      <c r="P59" s="12">
        <f t="shared" si="17"/>
        <v>0</v>
      </c>
      <c r="Q59" s="13"/>
      <c r="R59" s="12">
        <f t="shared" si="18"/>
        <v>3064000</v>
      </c>
      <c r="S59" s="12">
        <f t="shared" si="18"/>
        <v>3029647.9</v>
      </c>
      <c r="T59" s="14">
        <f>+R59-S59</f>
        <v>34352.100000000093</v>
      </c>
      <c r="U59" s="17">
        <f t="shared" si="5"/>
        <v>0.98878847911227152</v>
      </c>
    </row>
    <row r="60" spans="2:21" ht="24.95" customHeight="1">
      <c r="B60" s="18"/>
      <c r="C60" s="10"/>
      <c r="D60" s="10"/>
      <c r="E60" s="21"/>
      <c r="F60" s="12"/>
      <c r="G60" s="12"/>
      <c r="H60" s="12"/>
      <c r="I60" s="13"/>
      <c r="J60" s="12"/>
      <c r="K60" s="12"/>
      <c r="L60" s="12"/>
      <c r="M60" s="12"/>
      <c r="N60" s="12"/>
      <c r="O60" s="12"/>
      <c r="P60" s="12"/>
      <c r="Q60" s="13"/>
      <c r="R60" s="12"/>
      <c r="S60" s="12"/>
      <c r="T60" s="14"/>
      <c r="U60" s="17"/>
    </row>
    <row r="61" spans="2:21" ht="24.95" customHeight="1">
      <c r="B61" s="18"/>
      <c r="C61" s="20" t="s">
        <v>59</v>
      </c>
      <c r="D61" s="20"/>
      <c r="E61" s="10"/>
      <c r="F61" s="12"/>
      <c r="G61" s="12"/>
      <c r="H61" s="12"/>
      <c r="I61" s="13"/>
      <c r="J61" s="12"/>
      <c r="K61" s="12"/>
      <c r="L61" s="12"/>
      <c r="M61" s="12"/>
      <c r="N61" s="12"/>
      <c r="O61" s="12"/>
      <c r="P61" s="12"/>
      <c r="Q61" s="13"/>
      <c r="R61" s="12"/>
      <c r="S61" s="12"/>
      <c r="T61" s="14"/>
      <c r="U61" s="17"/>
    </row>
    <row r="62" spans="2:21" ht="24.95" customHeight="1">
      <c r="B62" s="18"/>
      <c r="C62" s="20"/>
      <c r="D62" s="20"/>
      <c r="E62" s="10" t="s">
        <v>60</v>
      </c>
      <c r="F62" s="12">
        <v>19912004</v>
      </c>
      <c r="G62" s="12">
        <v>17509511.850000001</v>
      </c>
      <c r="H62" s="12">
        <f>+F62-G62</f>
        <v>2402492.1499999985</v>
      </c>
      <c r="I62" s="13"/>
      <c r="J62" s="12">
        <v>25657974</v>
      </c>
      <c r="K62" s="12">
        <v>17637634.960000001</v>
      </c>
      <c r="L62" s="12">
        <f>+J62-K62</f>
        <v>8020339.0399999991</v>
      </c>
      <c r="M62" s="12"/>
      <c r="N62" s="12"/>
      <c r="O62" s="12">
        <v>67632.67</v>
      </c>
      <c r="P62" s="12">
        <f>+N62-O62</f>
        <v>-67632.67</v>
      </c>
      <c r="Q62" s="13"/>
      <c r="R62" s="12">
        <f t="shared" ref="R62:S65" si="19">+F62+J62+N62</f>
        <v>45569978</v>
      </c>
      <c r="S62" s="12">
        <f t="shared" si="19"/>
        <v>35214779.480000004</v>
      </c>
      <c r="T62" s="14">
        <f>+R62-S62</f>
        <v>10355198.519999996</v>
      </c>
      <c r="U62" s="17">
        <f t="shared" si="5"/>
        <v>0.77276270530567304</v>
      </c>
    </row>
    <row r="63" spans="2:21" ht="30" customHeight="1">
      <c r="B63" s="18"/>
      <c r="C63" s="10"/>
      <c r="D63" s="10"/>
      <c r="E63" s="21" t="s">
        <v>61</v>
      </c>
      <c r="F63" s="12">
        <v>18741425</v>
      </c>
      <c r="G63" s="12">
        <v>17442464.75</v>
      </c>
      <c r="H63" s="12">
        <f>+F63-G63</f>
        <v>1298960.25</v>
      </c>
      <c r="I63" s="13"/>
      <c r="J63" s="12"/>
      <c r="K63" s="12"/>
      <c r="L63" s="12">
        <f>+J63-K63</f>
        <v>0</v>
      </c>
      <c r="M63" s="12"/>
      <c r="N63" s="12">
        <v>216117</v>
      </c>
      <c r="O63" s="12"/>
      <c r="P63" s="12">
        <f>+N63-O63</f>
        <v>216117</v>
      </c>
      <c r="Q63" s="13"/>
      <c r="R63" s="12">
        <f t="shared" si="19"/>
        <v>18957542</v>
      </c>
      <c r="S63" s="12">
        <f t="shared" si="19"/>
        <v>17442464.75</v>
      </c>
      <c r="T63" s="14">
        <f>+R63-S63</f>
        <v>1515077.25</v>
      </c>
      <c r="U63" s="17">
        <f t="shared" si="5"/>
        <v>0.92008050147007459</v>
      </c>
    </row>
    <row r="64" spans="2:21" ht="30" customHeight="1">
      <c r="B64" s="18"/>
      <c r="C64" s="10"/>
      <c r="D64" s="10"/>
      <c r="E64" s="22" t="s">
        <v>62</v>
      </c>
      <c r="F64" s="12">
        <v>36390718</v>
      </c>
      <c r="G64" s="12">
        <v>31157413.469999999</v>
      </c>
      <c r="H64" s="12">
        <f>+F64-G64</f>
        <v>5233304.5300000012</v>
      </c>
      <c r="I64" s="13"/>
      <c r="J64" s="12">
        <v>18300000</v>
      </c>
      <c r="K64" s="12">
        <v>18300000</v>
      </c>
      <c r="L64" s="12">
        <f>+J64-K64</f>
        <v>0</v>
      </c>
      <c r="M64" s="12"/>
      <c r="N64" s="12">
        <v>0</v>
      </c>
      <c r="O64" s="12">
        <v>132586.41</v>
      </c>
      <c r="P64" s="12">
        <f>+N64-O64</f>
        <v>-132586.41</v>
      </c>
      <c r="Q64" s="13"/>
      <c r="R64" s="12">
        <f t="shared" si="19"/>
        <v>54690718</v>
      </c>
      <c r="S64" s="12">
        <f t="shared" si="19"/>
        <v>49589999.879999995</v>
      </c>
      <c r="T64" s="14">
        <f>+R64-S64</f>
        <v>5100718.1200000048</v>
      </c>
      <c r="U64" s="17">
        <f t="shared" si="5"/>
        <v>0.90673521382549771</v>
      </c>
    </row>
    <row r="65" spans="2:21" ht="30" customHeight="1">
      <c r="B65" s="18"/>
      <c r="C65" s="10"/>
      <c r="D65" s="10"/>
      <c r="E65" s="21" t="s">
        <v>63</v>
      </c>
      <c r="F65" s="12">
        <v>19282944</v>
      </c>
      <c r="G65" s="12">
        <v>23497151.440000001</v>
      </c>
      <c r="H65" s="12">
        <f>+F65-G65</f>
        <v>-4214207.4400000013</v>
      </c>
      <c r="I65" s="13"/>
      <c r="J65" s="12"/>
      <c r="K65" s="12"/>
      <c r="L65" s="12">
        <f>+J65-K65</f>
        <v>0</v>
      </c>
      <c r="M65" s="12"/>
      <c r="N65" s="12"/>
      <c r="O65" s="12"/>
      <c r="P65" s="12">
        <f>+N65-O65</f>
        <v>0</v>
      </c>
      <c r="Q65" s="13"/>
      <c r="R65" s="12">
        <f t="shared" si="19"/>
        <v>19282944</v>
      </c>
      <c r="S65" s="12">
        <f t="shared" si="19"/>
        <v>23497151.440000001</v>
      </c>
      <c r="T65" s="14">
        <f>+R65-S65</f>
        <v>-4214207.4400000013</v>
      </c>
      <c r="U65" s="17">
        <f t="shared" si="5"/>
        <v>1.2185458527494557</v>
      </c>
    </row>
    <row r="66" spans="2:21" ht="24.95" customHeight="1">
      <c r="B66" s="18"/>
      <c r="C66" s="10"/>
      <c r="D66" s="10"/>
      <c r="E66" s="21"/>
      <c r="F66" s="12"/>
      <c r="G66" s="12"/>
      <c r="H66" s="12"/>
      <c r="I66" s="13"/>
      <c r="J66" s="12"/>
      <c r="K66" s="12"/>
      <c r="L66" s="12"/>
      <c r="M66" s="12"/>
      <c r="N66" s="12"/>
      <c r="O66" s="12"/>
      <c r="P66" s="12"/>
      <c r="Q66" s="13"/>
      <c r="R66" s="12"/>
      <c r="S66" s="12"/>
      <c r="T66" s="14"/>
      <c r="U66" s="17"/>
    </row>
    <row r="67" spans="2:21" ht="24.95" customHeight="1">
      <c r="B67" s="18"/>
      <c r="C67" s="20" t="s">
        <v>64</v>
      </c>
      <c r="D67" s="20"/>
      <c r="E67" s="10"/>
      <c r="F67" s="12"/>
      <c r="G67" s="12"/>
      <c r="H67" s="12"/>
      <c r="I67" s="13"/>
      <c r="J67" s="12"/>
      <c r="K67" s="12"/>
      <c r="L67" s="12"/>
      <c r="M67" s="12"/>
      <c r="N67" s="12"/>
      <c r="O67" s="12"/>
      <c r="P67" s="12"/>
      <c r="Q67" s="13"/>
      <c r="R67" s="12"/>
      <c r="S67" s="12"/>
      <c r="T67" s="14"/>
      <c r="U67" s="17"/>
    </row>
    <row r="68" spans="2:21" ht="24.95" customHeight="1">
      <c r="B68" s="18"/>
      <c r="C68" s="20"/>
      <c r="D68" s="20"/>
      <c r="E68" s="10" t="s">
        <v>65</v>
      </c>
      <c r="F68" s="12">
        <v>34510089</v>
      </c>
      <c r="G68" s="12">
        <v>34185718.630000003</v>
      </c>
      <c r="H68" s="12">
        <f>+F68-G68</f>
        <v>324370.36999999732</v>
      </c>
      <c r="I68" s="13"/>
      <c r="J68" s="12">
        <v>17146468</v>
      </c>
      <c r="K68" s="12">
        <v>14806606.9</v>
      </c>
      <c r="L68" s="12">
        <f>+J68-K68</f>
        <v>2339861.0999999996</v>
      </c>
      <c r="M68" s="12"/>
      <c r="N68" s="12"/>
      <c r="O68" s="12"/>
      <c r="P68" s="12">
        <f>+N68-O68</f>
        <v>0</v>
      </c>
      <c r="Q68" s="13"/>
      <c r="R68" s="12">
        <f t="shared" ref="R68:S72" si="20">+F68+J68+N68</f>
        <v>51656557</v>
      </c>
      <c r="S68" s="12">
        <f t="shared" si="20"/>
        <v>48992325.530000001</v>
      </c>
      <c r="T68" s="14">
        <f>+R68-S68</f>
        <v>2664231.4699999988</v>
      </c>
      <c r="U68" s="17">
        <f t="shared" si="5"/>
        <v>0.94842413771401768</v>
      </c>
    </row>
    <row r="69" spans="2:21" ht="30.75" customHeight="1">
      <c r="B69" s="18"/>
      <c r="C69" s="10"/>
      <c r="D69" s="10"/>
      <c r="E69" s="21" t="s">
        <v>66</v>
      </c>
      <c r="F69" s="12">
        <v>60862000</v>
      </c>
      <c r="G69" s="12">
        <v>27420826.489999998</v>
      </c>
      <c r="H69" s="12">
        <f>+F69-G69</f>
        <v>33441173.510000002</v>
      </c>
      <c r="I69" s="13"/>
      <c r="J69" s="12"/>
      <c r="K69" s="12"/>
      <c r="L69" s="12">
        <f>+J69-K69</f>
        <v>0</v>
      </c>
      <c r="M69" s="12"/>
      <c r="N69" s="12">
        <v>668742</v>
      </c>
      <c r="O69" s="12">
        <v>668741.57999999996</v>
      </c>
      <c r="P69" s="12">
        <f>+N69-O69</f>
        <v>0.42000000004190952</v>
      </c>
      <c r="Q69" s="13"/>
      <c r="R69" s="12">
        <f t="shared" si="20"/>
        <v>61530742</v>
      </c>
      <c r="S69" s="12">
        <f t="shared" si="20"/>
        <v>28089568.069999997</v>
      </c>
      <c r="T69" s="14">
        <f>+R69-S69</f>
        <v>33441173.930000003</v>
      </c>
      <c r="U69" s="17">
        <f t="shared" si="5"/>
        <v>0.45651274723779534</v>
      </c>
    </row>
    <row r="70" spans="2:21" ht="30.75" customHeight="1">
      <c r="B70" s="18"/>
      <c r="C70" s="10"/>
      <c r="D70" s="10"/>
      <c r="E70" s="21" t="s">
        <v>67</v>
      </c>
      <c r="F70" s="12">
        <v>14435255</v>
      </c>
      <c r="G70" s="12">
        <v>13077762</v>
      </c>
      <c r="H70" s="12">
        <f>+F70-G70</f>
        <v>1357493</v>
      </c>
      <c r="I70" s="13"/>
      <c r="J70" s="12"/>
      <c r="K70" s="12"/>
      <c r="L70" s="12">
        <f>+J70-K70</f>
        <v>0</v>
      </c>
      <c r="M70" s="12"/>
      <c r="N70" s="12"/>
      <c r="O70" s="12"/>
      <c r="P70" s="12">
        <f>+N70-O70</f>
        <v>0</v>
      </c>
      <c r="Q70" s="13"/>
      <c r="R70" s="12">
        <f t="shared" si="20"/>
        <v>14435255</v>
      </c>
      <c r="S70" s="12">
        <f t="shared" si="20"/>
        <v>13077762</v>
      </c>
      <c r="T70" s="14">
        <f>+R70-S70</f>
        <v>1357493</v>
      </c>
      <c r="U70" s="17">
        <f t="shared" si="5"/>
        <v>0.90595988778861203</v>
      </c>
    </row>
    <row r="71" spans="2:21" ht="30.75" customHeight="1">
      <c r="B71" s="18"/>
      <c r="C71" s="10"/>
      <c r="D71" s="10"/>
      <c r="E71" s="22" t="s">
        <v>68</v>
      </c>
      <c r="F71" s="12">
        <v>18589792</v>
      </c>
      <c r="G71" s="12">
        <v>4155966.71</v>
      </c>
      <c r="H71" s="12">
        <f>+F71-G71</f>
        <v>14433825.289999999</v>
      </c>
      <c r="I71" s="13"/>
      <c r="J71" s="12"/>
      <c r="K71" s="12"/>
      <c r="L71" s="12">
        <f>+J71-K71</f>
        <v>0</v>
      </c>
      <c r="M71" s="12"/>
      <c r="N71" s="12"/>
      <c r="O71" s="12"/>
      <c r="P71" s="12">
        <f>+N71-O71</f>
        <v>0</v>
      </c>
      <c r="Q71" s="13"/>
      <c r="R71" s="12">
        <f t="shared" si="20"/>
        <v>18589792</v>
      </c>
      <c r="S71" s="12">
        <f t="shared" si="20"/>
        <v>4155966.71</v>
      </c>
      <c r="T71" s="14">
        <f>+R71-S71</f>
        <v>14433825.289999999</v>
      </c>
      <c r="U71" s="17">
        <f t="shared" si="5"/>
        <v>0.22356176497294858</v>
      </c>
    </row>
    <row r="72" spans="2:21" ht="24.95" customHeight="1">
      <c r="B72" s="18"/>
      <c r="C72" s="10"/>
      <c r="D72" s="10"/>
      <c r="E72" s="41" t="s">
        <v>69</v>
      </c>
      <c r="F72" s="12">
        <v>4857000</v>
      </c>
      <c r="G72" s="12">
        <v>3382174.85</v>
      </c>
      <c r="H72" s="12">
        <f>+F72-G72</f>
        <v>1474825.15</v>
      </c>
      <c r="I72" s="13"/>
      <c r="J72" s="12"/>
      <c r="K72" s="12"/>
      <c r="L72" s="12">
        <f>+J72-K72</f>
        <v>0</v>
      </c>
      <c r="M72" s="12"/>
      <c r="N72" s="12"/>
      <c r="O72" s="12"/>
      <c r="P72" s="12">
        <f>+N72-O72</f>
        <v>0</v>
      </c>
      <c r="Q72" s="13"/>
      <c r="R72" s="12">
        <f t="shared" si="20"/>
        <v>4857000</v>
      </c>
      <c r="S72" s="12">
        <f t="shared" si="20"/>
        <v>3382174.85</v>
      </c>
      <c r="T72" s="14">
        <f>+R72-S72</f>
        <v>1474825.15</v>
      </c>
      <c r="U72" s="17">
        <f t="shared" si="5"/>
        <v>0.69635059707638458</v>
      </c>
    </row>
    <row r="73" spans="2:21" ht="24.95" customHeight="1">
      <c r="B73" s="18"/>
      <c r="C73" s="10"/>
      <c r="D73" s="10"/>
      <c r="E73" s="41"/>
      <c r="F73" s="12"/>
      <c r="G73" s="12"/>
      <c r="H73" s="12"/>
      <c r="I73" s="13"/>
      <c r="J73" s="12"/>
      <c r="K73" s="12"/>
      <c r="L73" s="12"/>
      <c r="M73" s="12"/>
      <c r="N73" s="12"/>
      <c r="O73" s="12"/>
      <c r="P73" s="12"/>
      <c r="Q73" s="13"/>
      <c r="R73" s="12"/>
      <c r="S73" s="12"/>
      <c r="T73" s="14"/>
      <c r="U73" s="17"/>
    </row>
    <row r="74" spans="2:21" ht="24.95" customHeight="1">
      <c r="B74" s="18"/>
      <c r="C74" s="20" t="s">
        <v>70</v>
      </c>
      <c r="D74" s="20"/>
      <c r="E74" s="10"/>
      <c r="F74" s="12"/>
      <c r="G74" s="12"/>
      <c r="H74" s="12"/>
      <c r="I74" s="13"/>
      <c r="J74" s="12"/>
      <c r="K74" s="12"/>
      <c r="L74" s="12"/>
      <c r="M74" s="12"/>
      <c r="N74" s="12"/>
      <c r="O74" s="12"/>
      <c r="P74" s="12"/>
      <c r="Q74" s="13"/>
      <c r="R74" s="12"/>
      <c r="S74" s="12"/>
      <c r="T74" s="14"/>
      <c r="U74" s="17"/>
    </row>
    <row r="75" spans="2:21" ht="24.95" customHeight="1">
      <c r="B75" s="18"/>
      <c r="C75" s="20"/>
      <c r="D75" s="20"/>
      <c r="E75" s="10" t="s">
        <v>71</v>
      </c>
      <c r="F75" s="12">
        <v>31624000</v>
      </c>
      <c r="G75" s="12">
        <v>30349369.100000001</v>
      </c>
      <c r="H75" s="12">
        <f t="shared" ref="H75:H80" si="21">+F75-G75</f>
        <v>1274630.8999999985</v>
      </c>
      <c r="I75" s="13"/>
      <c r="J75" s="12"/>
      <c r="K75" s="12"/>
      <c r="L75" s="12">
        <f t="shared" ref="L75:L80" si="22">+J75-K75</f>
        <v>0</v>
      </c>
      <c r="M75" s="12"/>
      <c r="N75" s="12"/>
      <c r="O75" s="12"/>
      <c r="P75" s="12">
        <f t="shared" ref="P75:P80" si="23">+N75-O75</f>
        <v>0</v>
      </c>
      <c r="Q75" s="13"/>
      <c r="R75" s="12">
        <f t="shared" ref="R75:S80" si="24">+F75+J75+N75</f>
        <v>31624000</v>
      </c>
      <c r="S75" s="12">
        <f t="shared" si="24"/>
        <v>30349369.100000001</v>
      </c>
      <c r="T75" s="14">
        <f t="shared" ref="T75:T80" si="25">+R75-S75</f>
        <v>1274630.8999999985</v>
      </c>
      <c r="U75" s="17">
        <f t="shared" ref="U75:U137" si="26">+S75/R75</f>
        <v>0.95969419112066789</v>
      </c>
    </row>
    <row r="76" spans="2:21" ht="28.5" customHeight="1">
      <c r="B76" s="18"/>
      <c r="C76" s="10"/>
      <c r="D76" s="10"/>
      <c r="E76" s="21" t="s">
        <v>72</v>
      </c>
      <c r="F76" s="12">
        <v>24263000</v>
      </c>
      <c r="G76" s="12">
        <v>24584563.870000001</v>
      </c>
      <c r="H76" s="12">
        <f t="shared" si="21"/>
        <v>-321563.87000000104</v>
      </c>
      <c r="I76" s="13"/>
      <c r="J76" s="12">
        <v>209223</v>
      </c>
      <c r="K76" s="12"/>
      <c r="L76" s="12">
        <f t="shared" si="22"/>
        <v>209223</v>
      </c>
      <c r="M76" s="12"/>
      <c r="N76" s="12"/>
      <c r="O76" s="12"/>
      <c r="P76" s="12">
        <f t="shared" si="23"/>
        <v>0</v>
      </c>
      <c r="Q76" s="13"/>
      <c r="R76" s="12">
        <f t="shared" si="24"/>
        <v>24472223</v>
      </c>
      <c r="S76" s="12">
        <f t="shared" si="24"/>
        <v>24584563.870000001</v>
      </c>
      <c r="T76" s="14">
        <f t="shared" si="25"/>
        <v>-112340.87000000104</v>
      </c>
      <c r="U76" s="17">
        <f t="shared" si="26"/>
        <v>1.0045905461878146</v>
      </c>
    </row>
    <row r="77" spans="2:21" ht="28.5" customHeight="1">
      <c r="B77" s="18"/>
      <c r="C77" s="10"/>
      <c r="D77" s="10"/>
      <c r="E77" s="21" t="s">
        <v>73</v>
      </c>
      <c r="F77" s="12">
        <v>1907000</v>
      </c>
      <c r="G77" s="12">
        <v>1645297.33</v>
      </c>
      <c r="H77" s="12">
        <f t="shared" si="21"/>
        <v>261702.66999999993</v>
      </c>
      <c r="I77" s="13"/>
      <c r="J77" s="12"/>
      <c r="K77" s="12"/>
      <c r="L77" s="12">
        <f t="shared" si="22"/>
        <v>0</v>
      </c>
      <c r="M77" s="12"/>
      <c r="N77" s="12">
        <v>48557</v>
      </c>
      <c r="O77" s="12">
        <v>48556.89</v>
      </c>
      <c r="P77" s="12">
        <f t="shared" si="23"/>
        <v>0.11000000000058208</v>
      </c>
      <c r="Q77" s="13"/>
      <c r="R77" s="12">
        <f t="shared" si="24"/>
        <v>1955557</v>
      </c>
      <c r="S77" s="12">
        <f t="shared" si="24"/>
        <v>1693854.22</v>
      </c>
      <c r="T77" s="14">
        <f t="shared" si="25"/>
        <v>261702.78000000003</v>
      </c>
      <c r="U77" s="17">
        <f t="shared" si="26"/>
        <v>0.86617481362087634</v>
      </c>
    </row>
    <row r="78" spans="2:21" ht="28.5" customHeight="1">
      <c r="B78" s="18"/>
      <c r="C78" s="10"/>
      <c r="D78" s="10"/>
      <c r="E78" s="21" t="s">
        <v>74</v>
      </c>
      <c r="F78" s="12">
        <v>18920000</v>
      </c>
      <c r="G78" s="12">
        <v>18426196.66</v>
      </c>
      <c r="H78" s="12">
        <f t="shared" si="21"/>
        <v>493803.33999999985</v>
      </c>
      <c r="I78" s="13"/>
      <c r="J78" s="12"/>
      <c r="K78" s="12"/>
      <c r="L78" s="12">
        <f t="shared" si="22"/>
        <v>0</v>
      </c>
      <c r="M78" s="12"/>
      <c r="N78" s="12">
        <v>1646716</v>
      </c>
      <c r="O78" s="12">
        <v>1588659.55</v>
      </c>
      <c r="P78" s="12">
        <f t="shared" si="23"/>
        <v>58056.449999999953</v>
      </c>
      <c r="Q78" s="13"/>
      <c r="R78" s="12">
        <f t="shared" si="24"/>
        <v>20566716</v>
      </c>
      <c r="S78" s="12">
        <f t="shared" si="24"/>
        <v>20014856.210000001</v>
      </c>
      <c r="T78" s="14">
        <f t="shared" si="25"/>
        <v>551859.78999999911</v>
      </c>
      <c r="U78" s="17">
        <f t="shared" si="26"/>
        <v>0.97316733551433299</v>
      </c>
    </row>
    <row r="79" spans="2:21" ht="24.95" customHeight="1">
      <c r="B79" s="18"/>
      <c r="C79" s="10"/>
      <c r="D79" s="10"/>
      <c r="E79" s="28" t="s">
        <v>75</v>
      </c>
      <c r="F79" s="12">
        <v>5838000</v>
      </c>
      <c r="G79" s="12">
        <v>6973154.5700000003</v>
      </c>
      <c r="H79" s="12">
        <f t="shared" si="21"/>
        <v>-1135154.5700000003</v>
      </c>
      <c r="I79" s="13"/>
      <c r="J79" s="12"/>
      <c r="K79" s="12"/>
      <c r="L79" s="12">
        <f t="shared" si="22"/>
        <v>0</v>
      </c>
      <c r="M79" s="12"/>
      <c r="N79" s="12"/>
      <c r="O79" s="12"/>
      <c r="P79" s="12">
        <f t="shared" si="23"/>
        <v>0</v>
      </c>
      <c r="Q79" s="13"/>
      <c r="R79" s="12">
        <f t="shared" si="24"/>
        <v>5838000</v>
      </c>
      <c r="S79" s="12">
        <f t="shared" si="24"/>
        <v>6973154.5700000003</v>
      </c>
      <c r="T79" s="14">
        <f t="shared" si="25"/>
        <v>-1135154.5700000003</v>
      </c>
      <c r="U79" s="17">
        <f t="shared" si="26"/>
        <v>1.1944423723878042</v>
      </c>
    </row>
    <row r="80" spans="2:21" ht="24.95" customHeight="1">
      <c r="B80" s="18"/>
      <c r="C80" s="10"/>
      <c r="D80" s="10"/>
      <c r="E80" s="22" t="s">
        <v>76</v>
      </c>
      <c r="F80" s="12">
        <v>15028735</v>
      </c>
      <c r="G80" s="12">
        <v>11035613.190000001</v>
      </c>
      <c r="H80" s="12">
        <f t="shared" si="21"/>
        <v>3993121.8099999987</v>
      </c>
      <c r="I80" s="13"/>
      <c r="J80" s="12"/>
      <c r="K80" s="12"/>
      <c r="L80" s="12">
        <f t="shared" si="22"/>
        <v>0</v>
      </c>
      <c r="M80" s="12"/>
      <c r="N80" s="12"/>
      <c r="O80" s="12"/>
      <c r="P80" s="12">
        <f t="shared" si="23"/>
        <v>0</v>
      </c>
      <c r="Q80" s="13"/>
      <c r="R80" s="12">
        <f t="shared" si="24"/>
        <v>15028735</v>
      </c>
      <c r="S80" s="12">
        <f t="shared" si="24"/>
        <v>11035613.190000001</v>
      </c>
      <c r="T80" s="14">
        <f t="shared" si="25"/>
        <v>3993121.8099999987</v>
      </c>
      <c r="U80" s="17">
        <f t="shared" si="26"/>
        <v>0.73430087029946312</v>
      </c>
    </row>
    <row r="81" spans="2:21" ht="27.75" customHeight="1">
      <c r="B81" s="18"/>
      <c r="C81" s="10"/>
      <c r="D81" s="10"/>
      <c r="E81" s="31" t="s">
        <v>51</v>
      </c>
      <c r="F81" s="32">
        <f>SUM(F55:F80)</f>
        <v>426148962</v>
      </c>
      <c r="G81" s="32">
        <f t="shared" ref="G81:S81" si="27">SUM(G55:G80)</f>
        <v>348599110.15000004</v>
      </c>
      <c r="H81" s="32">
        <f t="shared" si="27"/>
        <v>77549851.849999994</v>
      </c>
      <c r="I81" s="32">
        <f t="shared" si="27"/>
        <v>0</v>
      </c>
      <c r="J81" s="32">
        <f>SUM(J55:J80)</f>
        <v>61313665</v>
      </c>
      <c r="K81" s="32">
        <f>SUM(K55:K80)</f>
        <v>50744241.859999999</v>
      </c>
      <c r="L81" s="32">
        <f>SUM(L55:L80)</f>
        <v>10569423.139999999</v>
      </c>
      <c r="M81" s="32">
        <f t="shared" si="27"/>
        <v>0</v>
      </c>
      <c r="N81" s="32">
        <f>SUM(N55:N80)</f>
        <v>2814919</v>
      </c>
      <c r="O81" s="32">
        <f>SUM(O55:O80)</f>
        <v>2740964.0999999996</v>
      </c>
      <c r="P81" s="32">
        <f>SUM(P55:P80)</f>
        <v>73954.900000000009</v>
      </c>
      <c r="Q81" s="32">
        <f t="shared" si="27"/>
        <v>0</v>
      </c>
      <c r="R81" s="32">
        <f t="shared" si="27"/>
        <v>490277546</v>
      </c>
      <c r="S81" s="32">
        <f t="shared" si="27"/>
        <v>402084316.11000007</v>
      </c>
      <c r="T81" s="34">
        <f>SUM(T55:T80)</f>
        <v>88193229.890000015</v>
      </c>
      <c r="U81" s="17">
        <f t="shared" si="26"/>
        <v>0.82011570668586176</v>
      </c>
    </row>
    <row r="82" spans="2:21" ht="24.95" customHeight="1">
      <c r="B82" s="18"/>
      <c r="C82" s="10"/>
      <c r="D82" s="10"/>
      <c r="E82" s="22"/>
      <c r="F82" s="12"/>
      <c r="G82" s="12"/>
      <c r="H82" s="12"/>
      <c r="I82" s="13"/>
      <c r="J82" s="12"/>
      <c r="K82" s="12"/>
      <c r="L82" s="12"/>
      <c r="M82" s="12"/>
      <c r="N82" s="12"/>
      <c r="O82" s="12"/>
      <c r="P82" s="12"/>
      <c r="Q82" s="13"/>
      <c r="R82" s="12"/>
      <c r="S82" s="12"/>
      <c r="T82" s="14"/>
      <c r="U82" s="17"/>
    </row>
    <row r="83" spans="2:21" ht="24.95" customHeight="1">
      <c r="B83" s="18"/>
      <c r="C83" s="24" t="s">
        <v>77</v>
      </c>
      <c r="D83" s="10"/>
      <c r="E83" s="22"/>
      <c r="F83" s="12">
        <f>SUM(F85:F103)</f>
        <v>361155467.39999998</v>
      </c>
      <c r="G83" s="12">
        <f t="shared" ref="G83:T83" si="28">SUM(G85:G103)</f>
        <v>259756410.50999996</v>
      </c>
      <c r="H83" s="12">
        <f t="shared" si="28"/>
        <v>101399056.89000003</v>
      </c>
      <c r="I83" s="12">
        <f t="shared" si="28"/>
        <v>0</v>
      </c>
      <c r="J83" s="12">
        <f>SUM(J85:J103)</f>
        <v>143682000</v>
      </c>
      <c r="K83" s="12">
        <f>SUM(K85:K103)</f>
        <v>83357151.979999989</v>
      </c>
      <c r="L83" s="12">
        <f>SUM(L85:L103)</f>
        <v>60324848.020000003</v>
      </c>
      <c r="M83" s="12">
        <f t="shared" si="28"/>
        <v>0</v>
      </c>
      <c r="N83" s="12">
        <f>SUM(N85:N103)</f>
        <v>40989921.469999999</v>
      </c>
      <c r="O83" s="12">
        <f>SUM(O85:O103)</f>
        <v>57946007.439999998</v>
      </c>
      <c r="P83" s="12">
        <f>SUM(P85:P103)</f>
        <v>-16956085.969999999</v>
      </c>
      <c r="Q83" s="12">
        <f t="shared" si="28"/>
        <v>0</v>
      </c>
      <c r="R83" s="12">
        <f t="shared" si="28"/>
        <v>545827388.87</v>
      </c>
      <c r="S83" s="12">
        <f t="shared" si="28"/>
        <v>401059569.93000007</v>
      </c>
      <c r="T83" s="14">
        <f t="shared" si="28"/>
        <v>144767818.94000003</v>
      </c>
      <c r="U83" s="17">
        <f>+S83/R83</f>
        <v>0.73477362643947619</v>
      </c>
    </row>
    <row r="84" spans="2:21" ht="24.95" customHeight="1">
      <c r="B84" s="18"/>
      <c r="C84" s="20" t="s">
        <v>78</v>
      </c>
      <c r="D84" s="20"/>
      <c r="E84" s="10"/>
      <c r="F84" s="12"/>
      <c r="G84" s="12"/>
      <c r="H84" s="12">
        <f t="shared" ref="H84:H89" si="29">+F84-G84</f>
        <v>0</v>
      </c>
      <c r="I84" s="13"/>
      <c r="J84" s="12"/>
      <c r="K84" s="12"/>
      <c r="L84" s="12">
        <f t="shared" ref="L84:L89" si="30">+J84-K84</f>
        <v>0</v>
      </c>
      <c r="M84" s="12"/>
      <c r="N84" s="12"/>
      <c r="O84" s="12"/>
      <c r="P84" s="12">
        <f t="shared" ref="P84:P89" si="31">+N84-O84</f>
        <v>0</v>
      </c>
      <c r="Q84" s="13"/>
      <c r="R84" s="12"/>
      <c r="S84" s="12"/>
      <c r="T84" s="14"/>
      <c r="U84" s="17"/>
    </row>
    <row r="85" spans="2:21" ht="24.95" customHeight="1">
      <c r="B85" s="18"/>
      <c r="C85" s="20"/>
      <c r="D85" s="20"/>
      <c r="E85" s="10" t="s">
        <v>79</v>
      </c>
      <c r="F85" s="42">
        <v>59526000</v>
      </c>
      <c r="G85" s="12">
        <v>20687906.079999998</v>
      </c>
      <c r="H85" s="12">
        <f t="shared" si="29"/>
        <v>38838093.920000002</v>
      </c>
      <c r="I85" s="13"/>
      <c r="J85" s="42"/>
      <c r="K85" s="12"/>
      <c r="L85" s="12">
        <f t="shared" si="30"/>
        <v>0</v>
      </c>
      <c r="M85" s="12"/>
      <c r="N85" s="42"/>
      <c r="O85" s="12">
        <v>13665439.75</v>
      </c>
      <c r="P85" s="12">
        <f t="shared" si="31"/>
        <v>-13665439.75</v>
      </c>
      <c r="Q85" s="13"/>
      <c r="R85" s="12">
        <f t="shared" ref="R85:S89" si="32">+F85+J85+N85</f>
        <v>59526000</v>
      </c>
      <c r="S85" s="12">
        <f t="shared" si="32"/>
        <v>34353345.829999998</v>
      </c>
      <c r="T85" s="14">
        <f>+R85-S85</f>
        <v>25172654.170000002</v>
      </c>
      <c r="U85" s="17">
        <f t="shared" si="26"/>
        <v>0.5771149721130262</v>
      </c>
    </row>
    <row r="86" spans="2:21" ht="27" customHeight="1">
      <c r="B86" s="18"/>
      <c r="C86" s="10"/>
      <c r="D86" s="10"/>
      <c r="E86" s="22" t="s">
        <v>80</v>
      </c>
      <c r="F86" s="12">
        <v>39261000</v>
      </c>
      <c r="G86" s="12">
        <v>38561499.859999999</v>
      </c>
      <c r="H86" s="12">
        <f t="shared" si="29"/>
        <v>699500.1400000006</v>
      </c>
      <c r="I86" s="13"/>
      <c r="J86" s="12"/>
      <c r="K86" s="12"/>
      <c r="L86" s="12">
        <f t="shared" si="30"/>
        <v>0</v>
      </c>
      <c r="M86" s="12"/>
      <c r="N86" s="12">
        <v>185193.28</v>
      </c>
      <c r="O86" s="12">
        <v>185193.28</v>
      </c>
      <c r="P86" s="12">
        <f t="shared" si="31"/>
        <v>0</v>
      </c>
      <c r="Q86" s="13"/>
      <c r="R86" s="12">
        <f t="shared" si="32"/>
        <v>39446193.280000001</v>
      </c>
      <c r="S86" s="12">
        <f t="shared" si="32"/>
        <v>38746693.140000001</v>
      </c>
      <c r="T86" s="14">
        <f>+R86-S86</f>
        <v>699500.1400000006</v>
      </c>
      <c r="U86" s="17">
        <f t="shared" si="26"/>
        <v>0.98226697985697242</v>
      </c>
    </row>
    <row r="87" spans="2:21" ht="27" customHeight="1">
      <c r="B87" s="18"/>
      <c r="C87" s="10"/>
      <c r="D87" s="10"/>
      <c r="E87" s="22" t="s">
        <v>81</v>
      </c>
      <c r="F87" s="12">
        <v>110179000</v>
      </c>
      <c r="G87" s="12">
        <v>48328495.399999999</v>
      </c>
      <c r="H87" s="12">
        <f t="shared" si="29"/>
        <v>61850504.600000001</v>
      </c>
      <c r="I87" s="13"/>
      <c r="J87" s="12"/>
      <c r="K87" s="12"/>
      <c r="L87" s="12">
        <f t="shared" si="30"/>
        <v>0</v>
      </c>
      <c r="M87" s="12"/>
      <c r="N87" s="12">
        <v>1464937.59</v>
      </c>
      <c r="O87" s="12">
        <v>1464937.59</v>
      </c>
      <c r="P87" s="12">
        <f t="shared" si="31"/>
        <v>0</v>
      </c>
      <c r="Q87" s="13"/>
      <c r="R87" s="12">
        <f t="shared" si="32"/>
        <v>111643937.59</v>
      </c>
      <c r="S87" s="12">
        <f t="shared" si="32"/>
        <v>49793432.990000002</v>
      </c>
      <c r="T87" s="14">
        <f>+R87-S87</f>
        <v>61850504.600000001</v>
      </c>
      <c r="U87" s="17">
        <f t="shared" si="26"/>
        <v>0.44600212125140976</v>
      </c>
    </row>
    <row r="88" spans="2:21" ht="27" customHeight="1">
      <c r="B88" s="18"/>
      <c r="C88" s="10"/>
      <c r="D88" s="10"/>
      <c r="E88" s="22" t="s">
        <v>82</v>
      </c>
      <c r="F88" s="12">
        <v>5864000</v>
      </c>
      <c r="G88" s="12">
        <v>5864000</v>
      </c>
      <c r="H88" s="12">
        <f t="shared" si="29"/>
        <v>0</v>
      </c>
      <c r="I88" s="13"/>
      <c r="J88" s="12"/>
      <c r="K88" s="12"/>
      <c r="L88" s="12">
        <f t="shared" si="30"/>
        <v>0</v>
      </c>
      <c r="M88" s="12"/>
      <c r="N88" s="12"/>
      <c r="O88" s="12"/>
      <c r="P88" s="12">
        <f t="shared" si="31"/>
        <v>0</v>
      </c>
      <c r="Q88" s="13"/>
      <c r="R88" s="12">
        <f t="shared" si="32"/>
        <v>5864000</v>
      </c>
      <c r="S88" s="12">
        <f t="shared" si="32"/>
        <v>5864000</v>
      </c>
      <c r="T88" s="14">
        <f>+R88-S88</f>
        <v>0</v>
      </c>
      <c r="U88" s="17">
        <f t="shared" si="26"/>
        <v>1</v>
      </c>
    </row>
    <row r="89" spans="2:21" ht="27" customHeight="1">
      <c r="B89" s="18"/>
      <c r="C89" s="10"/>
      <c r="D89" s="10"/>
      <c r="E89" s="22" t="s">
        <v>83</v>
      </c>
      <c r="F89" s="12">
        <v>2112000</v>
      </c>
      <c r="G89" s="12">
        <v>1704095.63</v>
      </c>
      <c r="H89" s="12">
        <f t="shared" si="29"/>
        <v>407904.37000000011</v>
      </c>
      <c r="I89" s="13"/>
      <c r="J89" s="12"/>
      <c r="K89" s="12"/>
      <c r="L89" s="12">
        <f t="shared" si="30"/>
        <v>0</v>
      </c>
      <c r="M89" s="12"/>
      <c r="N89" s="12"/>
      <c r="O89" s="12"/>
      <c r="P89" s="12">
        <f t="shared" si="31"/>
        <v>0</v>
      </c>
      <c r="Q89" s="13"/>
      <c r="R89" s="12">
        <f t="shared" si="32"/>
        <v>2112000</v>
      </c>
      <c r="S89" s="12">
        <f t="shared" si="32"/>
        <v>1704095.63</v>
      </c>
      <c r="T89" s="14">
        <f>+R89-S89</f>
        <v>407904.37000000011</v>
      </c>
      <c r="U89" s="17">
        <f t="shared" si="26"/>
        <v>0.80686346117424235</v>
      </c>
    </row>
    <row r="90" spans="2:21" ht="24.95" customHeight="1">
      <c r="B90" s="18"/>
      <c r="C90" s="10"/>
      <c r="D90" s="10"/>
      <c r="E90" s="22"/>
      <c r="F90" s="12"/>
      <c r="G90" s="12"/>
      <c r="H90" s="12"/>
      <c r="I90" s="13"/>
      <c r="J90" s="12"/>
      <c r="K90" s="12"/>
      <c r="L90" s="12"/>
      <c r="M90" s="12"/>
      <c r="N90" s="12"/>
      <c r="O90" s="12"/>
      <c r="P90" s="12"/>
      <c r="Q90" s="13"/>
      <c r="R90" s="12"/>
      <c r="S90" s="12"/>
      <c r="T90" s="14"/>
      <c r="U90" s="17"/>
    </row>
    <row r="91" spans="2:21" ht="24.95" customHeight="1">
      <c r="B91" s="18"/>
      <c r="C91" s="20" t="s">
        <v>84</v>
      </c>
      <c r="D91" s="20"/>
      <c r="E91" s="10"/>
      <c r="F91" s="12"/>
      <c r="G91" s="12"/>
      <c r="H91" s="12"/>
      <c r="I91" s="13"/>
      <c r="J91" s="12"/>
      <c r="K91" s="12"/>
      <c r="L91" s="12"/>
      <c r="M91" s="12"/>
      <c r="N91" s="12"/>
      <c r="O91" s="12"/>
      <c r="P91" s="12"/>
      <c r="Q91" s="13"/>
      <c r="R91" s="12"/>
      <c r="S91" s="12"/>
      <c r="T91" s="14"/>
      <c r="U91" s="17"/>
    </row>
    <row r="92" spans="2:21" ht="24.95" customHeight="1">
      <c r="B92" s="18"/>
      <c r="C92" s="20"/>
      <c r="D92" s="20"/>
      <c r="E92" s="10" t="s">
        <v>85</v>
      </c>
      <c r="F92" s="12">
        <v>21459000</v>
      </c>
      <c r="G92" s="12">
        <v>18271379.600000001</v>
      </c>
      <c r="H92" s="12">
        <f t="shared" ref="H92:H98" si="33">+F92-G92</f>
        <v>3187620.3999999985</v>
      </c>
      <c r="I92" s="13"/>
      <c r="J92" s="12">
        <v>18682000</v>
      </c>
      <c r="K92" s="12">
        <v>18682000</v>
      </c>
      <c r="L92" s="12">
        <f t="shared" ref="L92:L98" si="34">+J92-K92</f>
        <v>0</v>
      </c>
      <c r="M92" s="12"/>
      <c r="N92" s="12"/>
      <c r="O92" s="12">
        <v>3290646.22</v>
      </c>
      <c r="P92" s="12">
        <f t="shared" ref="P92:P98" si="35">+N92-O92</f>
        <v>-3290646.22</v>
      </c>
      <c r="Q92" s="13"/>
      <c r="R92" s="12">
        <f t="shared" ref="R92:S97" si="36">+F92+J92+N92</f>
        <v>40141000</v>
      </c>
      <c r="S92" s="12">
        <f t="shared" si="36"/>
        <v>40244025.82</v>
      </c>
      <c r="T92" s="14">
        <f t="shared" ref="T92:T98" si="37">+R92-S92</f>
        <v>-103025.8200000003</v>
      </c>
      <c r="U92" s="17">
        <f t="shared" si="26"/>
        <v>1.0025665982411998</v>
      </c>
    </row>
    <row r="93" spans="2:21" ht="28.5" customHeight="1">
      <c r="B93" s="18"/>
      <c r="C93" s="10"/>
      <c r="D93" s="10"/>
      <c r="E93" s="22" t="s">
        <v>86</v>
      </c>
      <c r="F93" s="12">
        <v>46632222.399999999</v>
      </c>
      <c r="G93" s="12">
        <v>43450469.359999992</v>
      </c>
      <c r="H93" s="12">
        <f t="shared" si="33"/>
        <v>3181753.0400000066</v>
      </c>
      <c r="I93" s="13"/>
      <c r="J93" s="12"/>
      <c r="K93" s="12"/>
      <c r="L93" s="12">
        <f t="shared" si="34"/>
        <v>0</v>
      </c>
      <c r="M93" s="12"/>
      <c r="N93" s="12">
        <v>39090538.600000001</v>
      </c>
      <c r="O93" s="12">
        <v>39090538.600000001</v>
      </c>
      <c r="P93" s="12">
        <f t="shared" si="35"/>
        <v>0</v>
      </c>
      <c r="Q93" s="13"/>
      <c r="R93" s="12">
        <f t="shared" si="36"/>
        <v>85722761</v>
      </c>
      <c r="S93" s="12">
        <f t="shared" si="36"/>
        <v>82541007.959999993</v>
      </c>
      <c r="T93" s="14">
        <f t="shared" si="37"/>
        <v>3181753.0400000066</v>
      </c>
      <c r="U93" s="17">
        <f t="shared" si="26"/>
        <v>0.96288321791221809</v>
      </c>
    </row>
    <row r="94" spans="2:21" ht="28.5" customHeight="1">
      <c r="B94" s="18"/>
      <c r="C94" s="10"/>
      <c r="D94" s="10"/>
      <c r="E94" s="22" t="s">
        <v>87</v>
      </c>
      <c r="F94" s="12">
        <v>19503000</v>
      </c>
      <c r="G94" s="12">
        <v>17787570.469999999</v>
      </c>
      <c r="H94" s="12">
        <f t="shared" si="33"/>
        <v>1715429.5300000012</v>
      </c>
      <c r="I94" s="13"/>
      <c r="J94" s="12"/>
      <c r="K94" s="12"/>
      <c r="L94" s="12">
        <f t="shared" si="34"/>
        <v>0</v>
      </c>
      <c r="M94" s="12"/>
      <c r="N94" s="12"/>
      <c r="O94" s="12"/>
      <c r="P94" s="12">
        <f t="shared" si="35"/>
        <v>0</v>
      </c>
      <c r="Q94" s="13"/>
      <c r="R94" s="12">
        <f t="shared" si="36"/>
        <v>19503000</v>
      </c>
      <c r="S94" s="12">
        <f t="shared" si="36"/>
        <v>17787570.469999999</v>
      </c>
      <c r="T94" s="14">
        <f t="shared" si="37"/>
        <v>1715429.5300000012</v>
      </c>
      <c r="U94" s="17">
        <f t="shared" si="26"/>
        <v>0.91204278675075623</v>
      </c>
    </row>
    <row r="95" spans="2:21" ht="28.5" customHeight="1">
      <c r="B95" s="18"/>
      <c r="C95" s="10"/>
      <c r="D95" s="10"/>
      <c r="E95" s="22" t="s">
        <v>88</v>
      </c>
      <c r="F95" s="12">
        <v>3198000</v>
      </c>
      <c r="G95" s="12">
        <v>2267523.27</v>
      </c>
      <c r="H95" s="12">
        <f t="shared" si="33"/>
        <v>930476.73</v>
      </c>
      <c r="I95" s="13"/>
      <c r="J95" s="12"/>
      <c r="K95" s="12"/>
      <c r="L95" s="12">
        <f t="shared" si="34"/>
        <v>0</v>
      </c>
      <c r="M95" s="12"/>
      <c r="N95" s="12"/>
      <c r="O95" s="12"/>
      <c r="P95" s="12">
        <f t="shared" si="35"/>
        <v>0</v>
      </c>
      <c r="Q95" s="13"/>
      <c r="R95" s="12">
        <f t="shared" si="36"/>
        <v>3198000</v>
      </c>
      <c r="S95" s="12">
        <f t="shared" si="36"/>
        <v>2267523.27</v>
      </c>
      <c r="T95" s="14">
        <f t="shared" si="37"/>
        <v>930476.73</v>
      </c>
      <c r="U95" s="17">
        <f t="shared" si="26"/>
        <v>0.70904417448405255</v>
      </c>
    </row>
    <row r="96" spans="2:21" ht="24.95" customHeight="1">
      <c r="B96" s="18"/>
      <c r="C96" s="10"/>
      <c r="D96" s="10"/>
      <c r="E96" s="22" t="s">
        <v>89</v>
      </c>
      <c r="F96" s="12">
        <v>6416000</v>
      </c>
      <c r="G96" s="12">
        <v>4349934.3499999996</v>
      </c>
      <c r="H96" s="12">
        <f t="shared" si="33"/>
        <v>2066065.6500000004</v>
      </c>
      <c r="I96" s="13"/>
      <c r="J96" s="12"/>
      <c r="K96" s="12"/>
      <c r="L96" s="12">
        <f t="shared" si="34"/>
        <v>0</v>
      </c>
      <c r="M96" s="12"/>
      <c r="N96" s="12">
        <v>249252</v>
      </c>
      <c r="O96" s="12">
        <v>249252</v>
      </c>
      <c r="P96" s="12">
        <f t="shared" si="35"/>
        <v>0</v>
      </c>
      <c r="Q96" s="13"/>
      <c r="R96" s="12">
        <f t="shared" si="36"/>
        <v>6665252</v>
      </c>
      <c r="S96" s="12">
        <f t="shared" si="36"/>
        <v>4599186.3499999996</v>
      </c>
      <c r="T96" s="14">
        <f t="shared" si="37"/>
        <v>2066065.6500000004</v>
      </c>
      <c r="U96" s="17">
        <f t="shared" si="26"/>
        <v>0.69002437567251762</v>
      </c>
    </row>
    <row r="97" spans="2:25" ht="24.95" customHeight="1">
      <c r="B97" s="18"/>
      <c r="C97" s="10"/>
      <c r="D97" s="10"/>
      <c r="E97" s="28" t="s">
        <v>90</v>
      </c>
      <c r="F97" s="12">
        <v>1942000</v>
      </c>
      <c r="G97" s="12">
        <v>1528896.23</v>
      </c>
      <c r="H97" s="12">
        <f t="shared" si="33"/>
        <v>413103.77</v>
      </c>
      <c r="I97" s="13"/>
      <c r="J97" s="12"/>
      <c r="K97" s="12"/>
      <c r="L97" s="12">
        <f t="shared" si="34"/>
        <v>0</v>
      </c>
      <c r="M97" s="12"/>
      <c r="N97" s="12"/>
      <c r="O97" s="12"/>
      <c r="P97" s="12">
        <f t="shared" si="35"/>
        <v>0</v>
      </c>
      <c r="Q97" s="13"/>
      <c r="R97" s="12">
        <f t="shared" si="36"/>
        <v>1942000</v>
      </c>
      <c r="S97" s="12">
        <f t="shared" si="36"/>
        <v>1528896.23</v>
      </c>
      <c r="T97" s="14">
        <f t="shared" si="37"/>
        <v>413103.77</v>
      </c>
      <c r="U97" s="17">
        <f t="shared" si="26"/>
        <v>0.78727921215242014</v>
      </c>
    </row>
    <row r="98" spans="2:25" ht="28.5" customHeight="1">
      <c r="B98" s="18"/>
      <c r="C98" s="10"/>
      <c r="D98" s="10"/>
      <c r="E98" s="43" t="s">
        <v>91</v>
      </c>
      <c r="F98" s="12">
        <v>2782000</v>
      </c>
      <c r="G98" s="12">
        <v>3189597.39</v>
      </c>
      <c r="H98" s="12">
        <f t="shared" si="33"/>
        <v>-407597.39000000013</v>
      </c>
      <c r="I98" s="13"/>
      <c r="J98" s="12"/>
      <c r="K98" s="12"/>
      <c r="L98" s="12">
        <f t="shared" si="34"/>
        <v>0</v>
      </c>
      <c r="M98" s="12"/>
      <c r="N98" s="12"/>
      <c r="O98" s="12"/>
      <c r="P98" s="12">
        <f t="shared" si="35"/>
        <v>0</v>
      </c>
      <c r="Q98" s="13"/>
      <c r="R98" s="12">
        <f>+F98+J98+N98</f>
        <v>2782000</v>
      </c>
      <c r="S98" s="12">
        <f>+G98+K98+O98</f>
        <v>3189597.39</v>
      </c>
      <c r="T98" s="14">
        <f t="shared" si="37"/>
        <v>-407597.39000000013</v>
      </c>
      <c r="U98" s="17">
        <f t="shared" si="26"/>
        <v>1.1465123616103523</v>
      </c>
    </row>
    <row r="99" spans="2:25" ht="24.95" customHeight="1">
      <c r="B99" s="18"/>
      <c r="C99" s="10"/>
      <c r="D99" s="10"/>
      <c r="E99" s="43"/>
      <c r="F99" s="12"/>
      <c r="G99" s="12"/>
      <c r="H99" s="12"/>
      <c r="I99" s="13"/>
      <c r="J99" s="12"/>
      <c r="K99" s="12"/>
      <c r="L99" s="12"/>
      <c r="M99" s="12"/>
      <c r="N99" s="12"/>
      <c r="O99" s="12"/>
      <c r="P99" s="12"/>
      <c r="Q99" s="13"/>
      <c r="R99" s="12"/>
      <c r="S99" s="12"/>
      <c r="T99" s="14"/>
      <c r="U99" s="17"/>
    </row>
    <row r="100" spans="2:25" ht="24.95" customHeight="1">
      <c r="B100" s="18"/>
      <c r="C100" s="20" t="s">
        <v>92</v>
      </c>
      <c r="D100" s="20"/>
      <c r="E100" s="10"/>
      <c r="F100" s="12"/>
      <c r="G100" s="12"/>
      <c r="H100" s="12"/>
      <c r="I100" s="13"/>
      <c r="J100" s="12"/>
      <c r="K100" s="12"/>
      <c r="L100" s="12"/>
      <c r="M100" s="12"/>
      <c r="N100" s="12"/>
      <c r="O100" s="12"/>
      <c r="P100" s="12"/>
      <c r="Q100" s="13"/>
      <c r="R100" s="12"/>
      <c r="S100" s="12"/>
      <c r="T100" s="14"/>
      <c r="U100" s="17"/>
    </row>
    <row r="101" spans="2:25" ht="24.95" customHeight="1">
      <c r="B101" s="18"/>
      <c r="C101" s="20"/>
      <c r="D101" s="20"/>
      <c r="E101" s="10" t="s">
        <v>93</v>
      </c>
      <c r="F101" s="12">
        <v>15944000</v>
      </c>
      <c r="G101" s="12">
        <v>16325941.789999999</v>
      </c>
      <c r="H101" s="12">
        <f>+F101-G101</f>
        <v>-381941.78999999911</v>
      </c>
      <c r="I101" s="13"/>
      <c r="J101" s="12">
        <v>125000000</v>
      </c>
      <c r="K101" s="12">
        <v>64675151.979999997</v>
      </c>
      <c r="L101" s="12">
        <f>+J101-K101</f>
        <v>60324848.020000003</v>
      </c>
      <c r="M101" s="12"/>
      <c r="N101" s="12"/>
      <c r="O101" s="12"/>
      <c r="P101" s="12">
        <f>+N101-O101</f>
        <v>0</v>
      </c>
      <c r="Q101" s="13"/>
      <c r="R101" s="12">
        <f t="shared" ref="R101:S103" si="38">+F101+J101+N101</f>
        <v>140944000</v>
      </c>
      <c r="S101" s="12">
        <f t="shared" si="38"/>
        <v>81001093.769999996</v>
      </c>
      <c r="T101" s="14">
        <f>+R101-S101</f>
        <v>59942906.230000004</v>
      </c>
      <c r="U101" s="17">
        <f t="shared" si="26"/>
        <v>0.5747040936116472</v>
      </c>
    </row>
    <row r="102" spans="2:25" ht="29.25" customHeight="1">
      <c r="B102" s="18"/>
      <c r="C102" s="10"/>
      <c r="D102" s="10"/>
      <c r="E102" s="22" t="s">
        <v>94</v>
      </c>
      <c r="F102" s="12">
        <v>24254245</v>
      </c>
      <c r="G102" s="12">
        <v>35144784.170000002</v>
      </c>
      <c r="H102" s="12">
        <f>+F102-G102</f>
        <v>-10890539.170000002</v>
      </c>
      <c r="I102" s="13"/>
      <c r="J102" s="12"/>
      <c r="K102" s="12"/>
      <c r="L102" s="12">
        <f>+J102-K102</f>
        <v>0</v>
      </c>
      <c r="M102" s="12"/>
      <c r="N102" s="12"/>
      <c r="O102" s="12"/>
      <c r="P102" s="12">
        <f>+N102-O102</f>
        <v>0</v>
      </c>
      <c r="Q102" s="13"/>
      <c r="R102" s="12">
        <f t="shared" si="38"/>
        <v>24254245</v>
      </c>
      <c r="S102" s="12">
        <f t="shared" si="38"/>
        <v>35144784.170000002</v>
      </c>
      <c r="T102" s="14">
        <f>+R102-S102</f>
        <v>-10890539.170000002</v>
      </c>
      <c r="U102" s="17">
        <f t="shared" si="26"/>
        <v>1.4490157978531182</v>
      </c>
    </row>
    <row r="103" spans="2:25" ht="29.25" customHeight="1">
      <c r="B103" s="18"/>
      <c r="C103" s="10"/>
      <c r="D103" s="10"/>
      <c r="E103" s="22" t="s">
        <v>95</v>
      </c>
      <c r="F103" s="12">
        <v>2083000</v>
      </c>
      <c r="G103" s="12">
        <v>2294316.91</v>
      </c>
      <c r="H103" s="12">
        <f>+F103-G103</f>
        <v>-211316.91000000015</v>
      </c>
      <c r="I103" s="13"/>
      <c r="J103" s="12"/>
      <c r="K103" s="12"/>
      <c r="L103" s="12">
        <f>+J103-K103</f>
        <v>0</v>
      </c>
      <c r="M103" s="12"/>
      <c r="N103" s="12"/>
      <c r="O103" s="12"/>
      <c r="P103" s="12">
        <f>+N103-O103</f>
        <v>0</v>
      </c>
      <c r="Q103" s="13"/>
      <c r="R103" s="12">
        <f t="shared" si="38"/>
        <v>2083000</v>
      </c>
      <c r="S103" s="12">
        <f t="shared" si="38"/>
        <v>2294316.91</v>
      </c>
      <c r="T103" s="14">
        <f>+R103-S103</f>
        <v>-211316.91000000015</v>
      </c>
      <c r="U103" s="17">
        <f t="shared" si="26"/>
        <v>1.1014483485357658</v>
      </c>
    </row>
    <row r="104" spans="2:25" ht="27.75" customHeight="1">
      <c r="B104" s="18"/>
      <c r="C104" s="10"/>
      <c r="D104" s="10"/>
      <c r="E104" s="31" t="s">
        <v>51</v>
      </c>
      <c r="F104" s="32">
        <f>SUM(F85:F103)</f>
        <v>361155467.39999998</v>
      </c>
      <c r="G104" s="32">
        <f t="shared" ref="G104:S104" si="39">SUM(G85:G103)</f>
        <v>259756410.50999996</v>
      </c>
      <c r="H104" s="32">
        <f t="shared" si="39"/>
        <v>101399056.89000003</v>
      </c>
      <c r="I104" s="32">
        <f t="shared" si="39"/>
        <v>0</v>
      </c>
      <c r="J104" s="32">
        <f>SUM(J85:J103)</f>
        <v>143682000</v>
      </c>
      <c r="K104" s="32">
        <f>SUM(K85:K103)</f>
        <v>83357151.979999989</v>
      </c>
      <c r="L104" s="32">
        <f>SUM(L85:L103)</f>
        <v>60324848.020000003</v>
      </c>
      <c r="M104" s="32">
        <f t="shared" si="39"/>
        <v>0</v>
      </c>
      <c r="N104" s="32">
        <f>SUM(N85:N103)</f>
        <v>40989921.469999999</v>
      </c>
      <c r="O104" s="32">
        <f>SUM(O85:O103)</f>
        <v>57946007.439999998</v>
      </c>
      <c r="P104" s="32">
        <f>SUM(P85:P103)</f>
        <v>-16956085.969999999</v>
      </c>
      <c r="Q104" s="32">
        <f t="shared" si="39"/>
        <v>0</v>
      </c>
      <c r="R104" s="32">
        <f t="shared" si="39"/>
        <v>545827388.87</v>
      </c>
      <c r="S104" s="32">
        <f t="shared" si="39"/>
        <v>401059569.93000007</v>
      </c>
      <c r="T104" s="34">
        <f>SUM(T85:T103)</f>
        <v>144767818.94000003</v>
      </c>
      <c r="U104" s="17">
        <f t="shared" si="26"/>
        <v>0.73477362643947619</v>
      </c>
    </row>
    <row r="105" spans="2:25" ht="24.95" customHeight="1">
      <c r="B105" s="18"/>
      <c r="C105" s="10"/>
      <c r="D105" s="10"/>
      <c r="E105" s="22"/>
      <c r="F105" s="12"/>
      <c r="G105" s="12"/>
      <c r="H105" s="12"/>
      <c r="I105" s="13"/>
      <c r="J105" s="12"/>
      <c r="K105" s="12"/>
      <c r="L105" s="12"/>
      <c r="M105" s="12"/>
      <c r="N105" s="12"/>
      <c r="O105" s="12"/>
      <c r="P105" s="12"/>
      <c r="Q105" s="13"/>
      <c r="R105" s="12"/>
      <c r="S105" s="12"/>
      <c r="T105" s="14"/>
      <c r="U105" s="17"/>
      <c r="Y105" s="2" t="s">
        <v>96</v>
      </c>
    </row>
    <row r="106" spans="2:25" ht="24.95" customHeight="1">
      <c r="B106" s="18"/>
      <c r="C106" s="24" t="s">
        <v>97</v>
      </c>
      <c r="D106" s="10"/>
      <c r="E106" s="22"/>
      <c r="F106" s="12">
        <f>SUM(F108:F136)</f>
        <v>416484739</v>
      </c>
      <c r="G106" s="12">
        <f>SUM(G108:G136)</f>
        <v>362231182.8300001</v>
      </c>
      <c r="H106" s="12">
        <f t="shared" ref="H106:T106" si="40">SUM(H108:H136)</f>
        <v>54253556.169999972</v>
      </c>
      <c r="I106" s="12">
        <f t="shared" si="40"/>
        <v>0</v>
      </c>
      <c r="J106" s="12">
        <f>SUM(J108:J136)</f>
        <v>104196123.18000001</v>
      </c>
      <c r="K106" s="12">
        <f>SUM(K108:K136)</f>
        <v>60839924.820000008</v>
      </c>
      <c r="L106" s="12">
        <f>SUM(L108:L136)</f>
        <v>43356198.359999999</v>
      </c>
      <c r="M106" s="12">
        <f t="shared" si="40"/>
        <v>0</v>
      </c>
      <c r="N106" s="12">
        <f>SUM(N108:N136)</f>
        <v>10037968</v>
      </c>
      <c r="O106" s="12">
        <f>SUM(O108:O136)</f>
        <v>5000173.88</v>
      </c>
      <c r="P106" s="12">
        <f>SUM(P108:P136)</f>
        <v>5037794.12</v>
      </c>
      <c r="Q106" s="12">
        <f t="shared" si="40"/>
        <v>0</v>
      </c>
      <c r="R106" s="12">
        <f t="shared" si="40"/>
        <v>530718830.18000001</v>
      </c>
      <c r="S106" s="12">
        <f t="shared" si="40"/>
        <v>428071281.53000015</v>
      </c>
      <c r="T106" s="14">
        <f t="shared" si="40"/>
        <v>102647548.64999998</v>
      </c>
      <c r="U106" s="17">
        <f>+S106/R106</f>
        <v>0.8065877017870543</v>
      </c>
    </row>
    <row r="107" spans="2:25" ht="24.95" customHeight="1">
      <c r="B107" s="18"/>
      <c r="C107" s="20" t="s">
        <v>98</v>
      </c>
      <c r="D107" s="20"/>
      <c r="E107" s="10"/>
      <c r="F107" s="12"/>
      <c r="G107" s="12"/>
      <c r="H107" s="12">
        <f t="shared" ref="H107:H115" si="41">+F107-G107</f>
        <v>0</v>
      </c>
      <c r="I107" s="13"/>
      <c r="J107" s="12"/>
      <c r="K107" s="12"/>
      <c r="L107" s="12">
        <f t="shared" ref="L107:L115" si="42">+J107-K107</f>
        <v>0</v>
      </c>
      <c r="M107" s="12"/>
      <c r="N107" s="12"/>
      <c r="O107" s="12"/>
      <c r="P107" s="12">
        <f t="shared" ref="P107:P115" si="43">+N107-O107</f>
        <v>0</v>
      </c>
      <c r="Q107" s="13"/>
      <c r="R107" s="12"/>
      <c r="S107" s="12"/>
      <c r="T107" s="14"/>
      <c r="U107" s="17"/>
    </row>
    <row r="108" spans="2:25" ht="24.95" customHeight="1">
      <c r="B108" s="18"/>
      <c r="C108" s="20"/>
      <c r="D108" s="20"/>
      <c r="E108" s="10" t="s">
        <v>99</v>
      </c>
      <c r="F108" s="12">
        <v>18802000</v>
      </c>
      <c r="G108" s="12">
        <v>23681350.670000002</v>
      </c>
      <c r="H108" s="12">
        <f t="shared" si="41"/>
        <v>-4879350.6700000018</v>
      </c>
      <c r="I108" s="13"/>
      <c r="J108" s="12">
        <v>44820000</v>
      </c>
      <c r="K108" s="12">
        <v>36437886.270000003</v>
      </c>
      <c r="L108" s="12">
        <f t="shared" si="42"/>
        <v>8382113.7299999967</v>
      </c>
      <c r="M108" s="12"/>
      <c r="N108" s="12">
        <v>7056000</v>
      </c>
      <c r="O108" s="12">
        <v>2493863</v>
      </c>
      <c r="P108" s="12">
        <f t="shared" si="43"/>
        <v>4562137</v>
      </c>
      <c r="Q108" s="13"/>
      <c r="R108" s="12">
        <f t="shared" ref="R108:S115" si="44">+F108+J108+N108</f>
        <v>70678000</v>
      </c>
      <c r="S108" s="12">
        <f t="shared" si="44"/>
        <v>62613099.940000005</v>
      </c>
      <c r="T108" s="14">
        <f t="shared" ref="T108:T115" si="45">+R108-S108</f>
        <v>8064900.0599999949</v>
      </c>
      <c r="U108" s="17">
        <f t="shared" si="26"/>
        <v>0.88589235603723937</v>
      </c>
    </row>
    <row r="109" spans="2:25" ht="27" customHeight="1">
      <c r="B109" s="18"/>
      <c r="C109" s="10"/>
      <c r="D109" s="10"/>
      <c r="E109" s="22" t="s">
        <v>100</v>
      </c>
      <c r="F109" s="12">
        <v>23844000</v>
      </c>
      <c r="G109" s="12">
        <v>21581156.670000002</v>
      </c>
      <c r="H109" s="12">
        <f t="shared" si="41"/>
        <v>2262843.3299999982</v>
      </c>
      <c r="I109" s="13"/>
      <c r="J109" s="12"/>
      <c r="K109" s="12"/>
      <c r="L109" s="12">
        <f t="shared" si="42"/>
        <v>0</v>
      </c>
      <c r="M109" s="12"/>
      <c r="N109" s="12">
        <v>2136073</v>
      </c>
      <c r="O109" s="12"/>
      <c r="P109" s="12">
        <f t="shared" si="43"/>
        <v>2136073</v>
      </c>
      <c r="Q109" s="13"/>
      <c r="R109" s="12">
        <f t="shared" si="44"/>
        <v>25980073</v>
      </c>
      <c r="S109" s="12">
        <f t="shared" si="44"/>
        <v>21581156.670000002</v>
      </c>
      <c r="T109" s="14">
        <f t="shared" si="45"/>
        <v>4398916.3299999982</v>
      </c>
      <c r="U109" s="17">
        <f t="shared" si="26"/>
        <v>0.83068114050333897</v>
      </c>
    </row>
    <row r="110" spans="2:25" ht="27" customHeight="1">
      <c r="B110" s="18"/>
      <c r="C110" s="10"/>
      <c r="D110" s="10"/>
      <c r="E110" s="22" t="s">
        <v>101</v>
      </c>
      <c r="F110" s="12">
        <v>3171000</v>
      </c>
      <c r="G110" s="12">
        <v>3229425.74</v>
      </c>
      <c r="H110" s="12">
        <f t="shared" si="41"/>
        <v>-58425.740000000224</v>
      </c>
      <c r="I110" s="13"/>
      <c r="J110" s="12"/>
      <c r="K110" s="12"/>
      <c r="L110" s="12">
        <f t="shared" si="42"/>
        <v>0</v>
      </c>
      <c r="M110" s="12"/>
      <c r="N110" s="12"/>
      <c r="O110" s="12"/>
      <c r="P110" s="12">
        <f t="shared" si="43"/>
        <v>0</v>
      </c>
      <c r="Q110" s="13"/>
      <c r="R110" s="12">
        <f t="shared" si="44"/>
        <v>3171000</v>
      </c>
      <c r="S110" s="12">
        <f t="shared" si="44"/>
        <v>3229425.74</v>
      </c>
      <c r="T110" s="14">
        <f t="shared" si="45"/>
        <v>-58425.740000000224</v>
      </c>
      <c r="U110" s="17">
        <f t="shared" si="26"/>
        <v>1.0184250204982657</v>
      </c>
    </row>
    <row r="111" spans="2:25" ht="29.25" customHeight="1">
      <c r="B111" s="18"/>
      <c r="C111" s="10"/>
      <c r="D111" s="10"/>
      <c r="E111" s="22" t="s">
        <v>102</v>
      </c>
      <c r="F111" s="12">
        <v>1656000</v>
      </c>
      <c r="G111" s="12">
        <v>1642078.54</v>
      </c>
      <c r="H111" s="12">
        <f t="shared" si="41"/>
        <v>13921.459999999963</v>
      </c>
      <c r="I111" s="13"/>
      <c r="J111" s="12"/>
      <c r="K111" s="12"/>
      <c r="L111" s="12">
        <f t="shared" si="42"/>
        <v>0</v>
      </c>
      <c r="M111" s="12"/>
      <c r="N111" s="12"/>
      <c r="O111" s="12"/>
      <c r="P111" s="12">
        <f t="shared" si="43"/>
        <v>0</v>
      </c>
      <c r="Q111" s="13"/>
      <c r="R111" s="12">
        <f t="shared" si="44"/>
        <v>1656000</v>
      </c>
      <c r="S111" s="12">
        <f t="shared" si="44"/>
        <v>1642078.54</v>
      </c>
      <c r="T111" s="14">
        <f t="shared" si="45"/>
        <v>13921.459999999963</v>
      </c>
      <c r="U111" s="17">
        <f t="shared" si="26"/>
        <v>0.99159332125603872</v>
      </c>
    </row>
    <row r="112" spans="2:25" ht="24.95" customHeight="1">
      <c r="B112" s="18"/>
      <c r="C112" s="10"/>
      <c r="D112" s="10"/>
      <c r="E112" s="28" t="s">
        <v>103</v>
      </c>
      <c r="F112" s="12">
        <v>1159000</v>
      </c>
      <c r="G112" s="12">
        <v>1153813.22</v>
      </c>
      <c r="H112" s="12">
        <f t="shared" si="41"/>
        <v>5186.7800000000279</v>
      </c>
      <c r="I112" s="13"/>
      <c r="J112" s="12"/>
      <c r="K112" s="12"/>
      <c r="L112" s="12">
        <f t="shared" si="42"/>
        <v>0</v>
      </c>
      <c r="M112" s="12"/>
      <c r="N112" s="12"/>
      <c r="O112" s="12"/>
      <c r="P112" s="12">
        <f t="shared" si="43"/>
        <v>0</v>
      </c>
      <c r="Q112" s="13"/>
      <c r="R112" s="12">
        <f t="shared" si="44"/>
        <v>1159000</v>
      </c>
      <c r="S112" s="12">
        <f t="shared" si="44"/>
        <v>1153813.22</v>
      </c>
      <c r="T112" s="14">
        <f t="shared" si="45"/>
        <v>5186.7800000000279</v>
      </c>
      <c r="U112" s="17">
        <f t="shared" si="26"/>
        <v>0.99552477998274369</v>
      </c>
    </row>
    <row r="113" spans="2:22" ht="24.95" customHeight="1">
      <c r="B113" s="18"/>
      <c r="C113" s="10"/>
      <c r="D113" s="10"/>
      <c r="E113" s="22" t="s">
        <v>104</v>
      </c>
      <c r="F113" s="12">
        <v>3564000</v>
      </c>
      <c r="G113" s="12">
        <v>4312844.67</v>
      </c>
      <c r="H113" s="12">
        <f t="shared" si="41"/>
        <v>-748844.66999999993</v>
      </c>
      <c r="I113" s="13"/>
      <c r="J113" s="12"/>
      <c r="K113" s="12"/>
      <c r="L113" s="12">
        <f t="shared" si="42"/>
        <v>0</v>
      </c>
      <c r="M113" s="12"/>
      <c r="N113" s="12"/>
      <c r="O113" s="12"/>
      <c r="P113" s="12">
        <f t="shared" si="43"/>
        <v>0</v>
      </c>
      <c r="Q113" s="13"/>
      <c r="R113" s="12">
        <f t="shared" si="44"/>
        <v>3564000</v>
      </c>
      <c r="S113" s="12">
        <f t="shared" si="44"/>
        <v>4312844.67</v>
      </c>
      <c r="T113" s="14">
        <f t="shared" si="45"/>
        <v>-748844.66999999993</v>
      </c>
      <c r="U113" s="17">
        <f t="shared" si="26"/>
        <v>1.2101135437710437</v>
      </c>
    </row>
    <row r="114" spans="2:22" ht="29.25" customHeight="1">
      <c r="B114" s="18"/>
      <c r="C114" s="10"/>
      <c r="D114" s="10"/>
      <c r="E114" s="22" t="s">
        <v>105</v>
      </c>
      <c r="F114" s="12">
        <v>18138774</v>
      </c>
      <c r="G114" s="12">
        <v>7143510.8899999997</v>
      </c>
      <c r="H114" s="12">
        <f t="shared" si="41"/>
        <v>10995263.109999999</v>
      </c>
      <c r="I114" s="13"/>
      <c r="J114" s="12"/>
      <c r="K114" s="12"/>
      <c r="L114" s="12">
        <f t="shared" si="42"/>
        <v>0</v>
      </c>
      <c r="M114" s="12"/>
      <c r="N114" s="12"/>
      <c r="O114" s="12"/>
      <c r="P114" s="12">
        <f t="shared" si="43"/>
        <v>0</v>
      </c>
      <c r="Q114" s="13"/>
      <c r="R114" s="12">
        <f t="shared" si="44"/>
        <v>18138774</v>
      </c>
      <c r="S114" s="12">
        <f t="shared" si="44"/>
        <v>7143510.8899999997</v>
      </c>
      <c r="T114" s="14">
        <f t="shared" si="45"/>
        <v>10995263.109999999</v>
      </c>
      <c r="U114" s="17">
        <f t="shared" si="26"/>
        <v>0.3938254531425332</v>
      </c>
    </row>
    <row r="115" spans="2:22" ht="29.25" customHeight="1">
      <c r="B115" s="18"/>
      <c r="C115" s="10"/>
      <c r="D115" s="10"/>
      <c r="E115" s="21" t="s">
        <v>106</v>
      </c>
      <c r="F115" s="12">
        <v>13212000</v>
      </c>
      <c r="G115" s="12">
        <v>5589933.71</v>
      </c>
      <c r="H115" s="12">
        <f t="shared" si="41"/>
        <v>7622066.29</v>
      </c>
      <c r="I115" s="13"/>
      <c r="J115" s="12"/>
      <c r="K115" s="12"/>
      <c r="L115" s="12">
        <f t="shared" si="42"/>
        <v>0</v>
      </c>
      <c r="M115" s="12"/>
      <c r="N115" s="12"/>
      <c r="O115" s="12"/>
      <c r="P115" s="12">
        <f t="shared" si="43"/>
        <v>0</v>
      </c>
      <c r="Q115" s="13"/>
      <c r="R115" s="12">
        <f t="shared" si="44"/>
        <v>13212000</v>
      </c>
      <c r="S115" s="12">
        <f t="shared" si="44"/>
        <v>5589933.71</v>
      </c>
      <c r="T115" s="14">
        <f t="shared" si="45"/>
        <v>7622066.29</v>
      </c>
      <c r="U115" s="17">
        <f t="shared" si="26"/>
        <v>0.42309519452013322</v>
      </c>
    </row>
    <row r="116" spans="2:22" ht="24.95" customHeight="1">
      <c r="B116" s="18"/>
      <c r="C116" s="10"/>
      <c r="D116" s="10"/>
      <c r="E116" s="28"/>
      <c r="F116" s="12"/>
      <c r="G116" s="12"/>
      <c r="H116" s="12"/>
      <c r="I116" s="13"/>
      <c r="J116" s="12"/>
      <c r="K116" s="12"/>
      <c r="L116" s="12"/>
      <c r="M116" s="12"/>
      <c r="N116" s="12"/>
      <c r="O116" s="12"/>
      <c r="P116" s="12"/>
      <c r="Q116" s="13"/>
      <c r="R116" s="12"/>
      <c r="S116" s="12"/>
      <c r="T116" s="14"/>
      <c r="U116" s="17"/>
    </row>
    <row r="117" spans="2:22" ht="24.95" customHeight="1">
      <c r="B117" s="18"/>
      <c r="C117" s="20" t="s">
        <v>107</v>
      </c>
      <c r="D117" s="20"/>
      <c r="E117" s="10"/>
      <c r="F117" s="12"/>
      <c r="G117" s="12"/>
      <c r="H117" s="12"/>
      <c r="I117" s="13"/>
      <c r="J117" s="12"/>
      <c r="K117" s="12"/>
      <c r="L117" s="12"/>
      <c r="M117" s="12"/>
      <c r="N117" s="12"/>
      <c r="O117" s="12"/>
      <c r="P117" s="12"/>
      <c r="Q117" s="13"/>
      <c r="R117" s="12"/>
      <c r="S117" s="12"/>
      <c r="T117" s="14"/>
      <c r="U117" s="17"/>
    </row>
    <row r="118" spans="2:22" ht="24.95" customHeight="1">
      <c r="B118" s="18"/>
      <c r="C118" s="20"/>
      <c r="D118" s="20"/>
      <c r="E118" s="10" t="s">
        <v>108</v>
      </c>
      <c r="F118" s="12">
        <v>32624000</v>
      </c>
      <c r="G118" s="12">
        <v>41629386.380000003</v>
      </c>
      <c r="H118" s="12">
        <f>+F118-G118</f>
        <v>-9005386.3800000027</v>
      </c>
      <c r="I118" s="13"/>
      <c r="J118" s="12">
        <v>29376123.18</v>
      </c>
      <c r="K118" s="12"/>
      <c r="L118" s="12">
        <f>+J118-K118</f>
        <v>29376123.18</v>
      </c>
      <c r="M118" s="12"/>
      <c r="N118" s="12">
        <v>0</v>
      </c>
      <c r="O118" s="12">
        <v>0</v>
      </c>
      <c r="P118" s="12">
        <f>+N118-O118</f>
        <v>0</v>
      </c>
      <c r="Q118" s="13"/>
      <c r="R118" s="12">
        <f t="shared" ref="R118:S121" si="46">+F118+J118+N118</f>
        <v>62000123.18</v>
      </c>
      <c r="S118" s="12">
        <f t="shared" si="46"/>
        <v>41629386.380000003</v>
      </c>
      <c r="T118" s="14">
        <f>+R118-S118</f>
        <v>20370736.799999997</v>
      </c>
      <c r="U118" s="17">
        <f t="shared" si="26"/>
        <v>0.67144038180602861</v>
      </c>
    </row>
    <row r="119" spans="2:22" ht="28.5" customHeight="1">
      <c r="B119" s="18"/>
      <c r="C119" s="10"/>
      <c r="D119" s="10"/>
      <c r="E119" s="21" t="s">
        <v>109</v>
      </c>
      <c r="F119" s="12">
        <v>29284000</v>
      </c>
      <c r="G119" s="12">
        <v>28018866.969999999</v>
      </c>
      <c r="H119" s="12">
        <f>+F119-G119</f>
        <v>1265133.0300000012</v>
      </c>
      <c r="I119" s="13"/>
      <c r="J119" s="12"/>
      <c r="K119" s="12"/>
      <c r="L119" s="12">
        <f>+J119-K119</f>
        <v>0</v>
      </c>
      <c r="M119" s="12"/>
      <c r="N119" s="12">
        <v>479308</v>
      </c>
      <c r="O119" s="12">
        <v>479307</v>
      </c>
      <c r="P119" s="12">
        <f>+N119-O119</f>
        <v>1</v>
      </c>
      <c r="Q119" s="13"/>
      <c r="R119" s="12">
        <f t="shared" si="46"/>
        <v>29763308</v>
      </c>
      <c r="S119" s="12">
        <f t="shared" si="46"/>
        <v>28498173.969999999</v>
      </c>
      <c r="T119" s="14">
        <f>+R119-S119</f>
        <v>1265134.0300000012</v>
      </c>
      <c r="U119" s="17">
        <f t="shared" si="26"/>
        <v>0.95749350072243311</v>
      </c>
    </row>
    <row r="120" spans="2:22" ht="28.5" customHeight="1">
      <c r="B120" s="18"/>
      <c r="C120" s="10"/>
      <c r="D120" s="10"/>
      <c r="E120" s="21" t="s">
        <v>110</v>
      </c>
      <c r="F120" s="12">
        <v>12281103</v>
      </c>
      <c r="G120" s="12">
        <v>12135038.1</v>
      </c>
      <c r="H120" s="12">
        <f>+F120-G120</f>
        <v>146064.90000000037</v>
      </c>
      <c r="I120" s="13"/>
      <c r="J120" s="12"/>
      <c r="K120" s="12"/>
      <c r="L120" s="12">
        <f>+J120-K120</f>
        <v>0</v>
      </c>
      <c r="M120" s="12"/>
      <c r="N120" s="12">
        <v>0</v>
      </c>
      <c r="O120" s="12">
        <v>0</v>
      </c>
      <c r="P120" s="12">
        <f>+N120-O120</f>
        <v>0</v>
      </c>
      <c r="Q120" s="13"/>
      <c r="R120" s="12">
        <f t="shared" si="46"/>
        <v>12281103</v>
      </c>
      <c r="S120" s="12">
        <f t="shared" si="46"/>
        <v>12135038.1</v>
      </c>
      <c r="T120" s="14">
        <f>+R120-S120</f>
        <v>146064.90000000037</v>
      </c>
      <c r="U120" s="17">
        <f t="shared" si="26"/>
        <v>0.98810653245070901</v>
      </c>
    </row>
    <row r="121" spans="2:22" ht="28.5" customHeight="1">
      <c r="B121" s="18"/>
      <c r="C121" s="10"/>
      <c r="D121" s="10"/>
      <c r="E121" s="22" t="s">
        <v>111</v>
      </c>
      <c r="F121" s="12">
        <v>15632698</v>
      </c>
      <c r="G121" s="12">
        <v>12255846.25</v>
      </c>
      <c r="H121" s="12">
        <f>+F121-G121</f>
        <v>3376851.75</v>
      </c>
      <c r="I121" s="13"/>
      <c r="J121" s="12"/>
      <c r="K121" s="12"/>
      <c r="L121" s="12">
        <f>+J121-K121</f>
        <v>0</v>
      </c>
      <c r="M121" s="12"/>
      <c r="N121" s="12">
        <v>19908</v>
      </c>
      <c r="O121" s="12">
        <v>19908</v>
      </c>
      <c r="P121" s="12">
        <f>+N121-O121</f>
        <v>0</v>
      </c>
      <c r="Q121" s="13"/>
      <c r="R121" s="12">
        <f t="shared" si="46"/>
        <v>15652606</v>
      </c>
      <c r="S121" s="12">
        <f t="shared" si="46"/>
        <v>12275754.25</v>
      </c>
      <c r="T121" s="14">
        <f>+R121-S121</f>
        <v>3376851.75</v>
      </c>
      <c r="U121" s="17">
        <f t="shared" si="26"/>
        <v>0.78426264929942013</v>
      </c>
    </row>
    <row r="122" spans="2:22" ht="24.95" customHeight="1">
      <c r="B122" s="18"/>
      <c r="C122" s="10"/>
      <c r="D122" s="10"/>
      <c r="E122" s="22"/>
      <c r="F122" s="12"/>
      <c r="G122" s="12"/>
      <c r="H122" s="12"/>
      <c r="I122" s="13"/>
      <c r="J122" s="12"/>
      <c r="K122" s="12"/>
      <c r="L122" s="12"/>
      <c r="M122" s="12"/>
      <c r="N122" s="12"/>
      <c r="O122" s="12"/>
      <c r="P122" s="12"/>
      <c r="Q122" s="13"/>
      <c r="R122" s="12"/>
      <c r="S122" s="12"/>
      <c r="T122" s="14"/>
      <c r="U122" s="17"/>
    </row>
    <row r="123" spans="2:22" ht="24.95" customHeight="1">
      <c r="B123" s="18"/>
      <c r="C123" s="20" t="s">
        <v>112</v>
      </c>
      <c r="D123" s="20"/>
      <c r="E123" s="10"/>
      <c r="F123" s="12"/>
      <c r="G123" s="12"/>
      <c r="H123" s="12"/>
      <c r="I123" s="13"/>
      <c r="J123" s="12"/>
      <c r="K123" s="12"/>
      <c r="L123" s="12"/>
      <c r="M123" s="12"/>
      <c r="N123" s="12"/>
      <c r="O123" s="12"/>
      <c r="P123" s="12"/>
      <c r="Q123" s="13"/>
      <c r="R123" s="12"/>
      <c r="S123" s="12"/>
      <c r="T123" s="14"/>
      <c r="U123" s="17"/>
    </row>
    <row r="124" spans="2:22" ht="24.95" customHeight="1">
      <c r="B124" s="18"/>
      <c r="C124" s="20"/>
      <c r="D124" s="20"/>
      <c r="E124" s="10" t="s">
        <v>113</v>
      </c>
      <c r="F124" s="12">
        <v>29315000</v>
      </c>
      <c r="G124" s="12">
        <v>22001689.77</v>
      </c>
      <c r="H124" s="12">
        <f>+F124-G124</f>
        <v>7313310.2300000004</v>
      </c>
      <c r="I124" s="13"/>
      <c r="J124" s="12"/>
      <c r="K124" s="12">
        <v>6859146.7800000003</v>
      </c>
      <c r="L124" s="12">
        <f>+J124-K124</f>
        <v>-6859146.7800000003</v>
      </c>
      <c r="M124" s="12"/>
      <c r="N124" s="12"/>
      <c r="O124" s="12"/>
      <c r="P124" s="12">
        <f>+N124-O124</f>
        <v>0</v>
      </c>
      <c r="Q124" s="13"/>
      <c r="R124" s="12">
        <f t="shared" ref="R124:S126" si="47">+F124+J124+N124</f>
        <v>29315000</v>
      </c>
      <c r="S124" s="12">
        <f t="shared" si="47"/>
        <v>28860836.550000001</v>
      </c>
      <c r="T124" s="14">
        <f>+R124-S124</f>
        <v>454163.44999999925</v>
      </c>
      <c r="U124" s="17">
        <f t="shared" si="26"/>
        <v>0.98450747228381374</v>
      </c>
      <c r="V124" s="2" t="s">
        <v>143</v>
      </c>
    </row>
    <row r="125" spans="2:22" ht="24.95" customHeight="1">
      <c r="B125" s="18"/>
      <c r="C125" s="10"/>
      <c r="D125" s="10"/>
      <c r="E125" s="22" t="s">
        <v>115</v>
      </c>
      <c r="F125" s="12">
        <v>49023164</v>
      </c>
      <c r="G125" s="12">
        <v>43226469.880000018</v>
      </c>
      <c r="H125" s="12">
        <f>+F125-G125</f>
        <v>5796694.1199999824</v>
      </c>
      <c r="I125" s="13"/>
      <c r="J125" s="12"/>
      <c r="K125" s="12"/>
      <c r="L125" s="12">
        <f>+J125-K125</f>
        <v>0</v>
      </c>
      <c r="M125" s="12"/>
      <c r="N125" s="12">
        <v>346679</v>
      </c>
      <c r="O125" s="12">
        <v>2007095.88</v>
      </c>
      <c r="P125" s="12">
        <f>+N125-O125</f>
        <v>-1660416.88</v>
      </c>
      <c r="Q125" s="13"/>
      <c r="R125" s="12">
        <f t="shared" si="47"/>
        <v>49369843</v>
      </c>
      <c r="S125" s="12">
        <f t="shared" si="47"/>
        <v>45233565.76000002</v>
      </c>
      <c r="T125" s="14">
        <f>+R125-S125</f>
        <v>4136277.2399999797</v>
      </c>
      <c r="U125" s="17">
        <f t="shared" si="26"/>
        <v>0.91621854580335649</v>
      </c>
    </row>
    <row r="126" spans="2:22" ht="28.5" customHeight="1">
      <c r="B126" s="18"/>
      <c r="C126" s="10"/>
      <c r="D126" s="10"/>
      <c r="E126" s="22" t="s">
        <v>116</v>
      </c>
      <c r="F126" s="12">
        <v>33022000</v>
      </c>
      <c r="G126" s="12">
        <v>28961944.800000001</v>
      </c>
      <c r="H126" s="12">
        <f>+F126-G126</f>
        <v>4060055.1999999993</v>
      </c>
      <c r="I126" s="13"/>
      <c r="J126" s="12"/>
      <c r="K126" s="12"/>
      <c r="L126" s="12">
        <f>+J126-K126</f>
        <v>0</v>
      </c>
      <c r="M126" s="12"/>
      <c r="N126" s="12"/>
      <c r="O126" s="12"/>
      <c r="P126" s="12">
        <f>+N126-O126</f>
        <v>0</v>
      </c>
      <c r="Q126" s="13"/>
      <c r="R126" s="12">
        <f t="shared" si="47"/>
        <v>33022000</v>
      </c>
      <c r="S126" s="12">
        <f t="shared" si="47"/>
        <v>28961944.800000001</v>
      </c>
      <c r="T126" s="14">
        <f>+R126-S126</f>
        <v>4060055.1999999993</v>
      </c>
      <c r="U126" s="17">
        <f t="shared" si="26"/>
        <v>0.87704999091514746</v>
      </c>
    </row>
    <row r="127" spans="2:22" ht="24.95" customHeight="1">
      <c r="B127" s="18"/>
      <c r="C127" s="10"/>
      <c r="D127" s="10"/>
      <c r="E127" s="22"/>
      <c r="F127" s="12"/>
      <c r="G127" s="12"/>
      <c r="H127" s="12"/>
      <c r="I127" s="13"/>
      <c r="J127" s="12"/>
      <c r="K127" s="12"/>
      <c r="L127" s="12"/>
      <c r="M127" s="12"/>
      <c r="N127" s="12"/>
      <c r="O127" s="12"/>
      <c r="P127" s="12"/>
      <c r="Q127" s="13"/>
      <c r="R127" s="12"/>
      <c r="S127" s="12"/>
      <c r="T127" s="14"/>
      <c r="U127" s="17"/>
    </row>
    <row r="128" spans="2:22" ht="24.95" customHeight="1">
      <c r="B128" s="18"/>
      <c r="C128" s="20" t="s">
        <v>117</v>
      </c>
      <c r="D128" s="20"/>
      <c r="E128" s="10"/>
      <c r="F128" s="12"/>
      <c r="G128" s="12"/>
      <c r="H128" s="12"/>
      <c r="I128" s="13"/>
      <c r="J128" s="12"/>
      <c r="K128" s="12"/>
      <c r="L128" s="12"/>
      <c r="M128" s="12"/>
      <c r="N128" s="12"/>
      <c r="O128" s="12"/>
      <c r="P128" s="12"/>
      <c r="Q128" s="13"/>
      <c r="R128" s="12"/>
      <c r="S128" s="12"/>
      <c r="T128" s="14"/>
      <c r="U128" s="17"/>
    </row>
    <row r="129" spans="2:21" ht="24.95" customHeight="1">
      <c r="B129" s="18"/>
      <c r="C129" s="20"/>
      <c r="D129" s="20"/>
      <c r="E129" s="10" t="s">
        <v>118</v>
      </c>
      <c r="F129" s="12">
        <v>16836000</v>
      </c>
      <c r="G129" s="12">
        <v>16836000</v>
      </c>
      <c r="H129" s="12">
        <f>+F129-G129</f>
        <v>0</v>
      </c>
      <c r="I129" s="13"/>
      <c r="J129" s="12">
        <v>30000000</v>
      </c>
      <c r="K129" s="12">
        <v>17542891.77</v>
      </c>
      <c r="L129" s="12">
        <f>+J129-K129</f>
        <v>12457108.23</v>
      </c>
      <c r="M129" s="12"/>
      <c r="N129" s="12"/>
      <c r="O129" s="12"/>
      <c r="P129" s="12">
        <f>+N129-O129</f>
        <v>0</v>
      </c>
      <c r="Q129" s="13"/>
      <c r="R129" s="12">
        <f t="shared" ref="R129:S131" si="48">+F129+J129+N129</f>
        <v>46836000</v>
      </c>
      <c r="S129" s="12">
        <f t="shared" si="48"/>
        <v>34378891.769999996</v>
      </c>
      <c r="T129" s="14">
        <f>+R129-S129</f>
        <v>12457108.230000004</v>
      </c>
      <c r="U129" s="17">
        <f t="shared" si="26"/>
        <v>0.73402706828080955</v>
      </c>
    </row>
    <row r="130" spans="2:21" ht="27.75" customHeight="1">
      <c r="B130" s="18"/>
      <c r="C130" s="10"/>
      <c r="D130" s="10"/>
      <c r="E130" s="22" t="s">
        <v>119</v>
      </c>
      <c r="F130" s="12">
        <v>25113000</v>
      </c>
      <c r="G130" s="12">
        <v>23856659.850000001</v>
      </c>
      <c r="H130" s="12">
        <f>+F130-G130</f>
        <v>1256340.1499999985</v>
      </c>
      <c r="I130" s="13"/>
      <c r="J130" s="12"/>
      <c r="K130" s="12"/>
      <c r="L130" s="12">
        <f>+J130-K130</f>
        <v>0</v>
      </c>
      <c r="M130" s="12"/>
      <c r="N130" s="12"/>
      <c r="O130" s="12"/>
      <c r="P130" s="12">
        <f>+N130-O130</f>
        <v>0</v>
      </c>
      <c r="Q130" s="13"/>
      <c r="R130" s="12">
        <f t="shared" si="48"/>
        <v>25113000</v>
      </c>
      <c r="S130" s="12">
        <f t="shared" si="48"/>
        <v>23856659.850000001</v>
      </c>
      <c r="T130" s="14">
        <f>+R130-S130</f>
        <v>1256340.1499999985</v>
      </c>
      <c r="U130" s="17">
        <f t="shared" si="26"/>
        <v>0.94997251821765627</v>
      </c>
    </row>
    <row r="131" spans="2:21" ht="24.95" customHeight="1">
      <c r="B131" s="18"/>
      <c r="C131" s="10"/>
      <c r="D131" s="10"/>
      <c r="E131" s="28" t="s">
        <v>120</v>
      </c>
      <c r="F131" s="12">
        <v>1953000</v>
      </c>
      <c r="G131" s="12">
        <v>2787423.92</v>
      </c>
      <c r="H131" s="12">
        <f>+F131-G131</f>
        <v>-834423.91999999993</v>
      </c>
      <c r="I131" s="13"/>
      <c r="J131" s="12"/>
      <c r="K131" s="12"/>
      <c r="L131" s="12">
        <f>+J131-K131</f>
        <v>0</v>
      </c>
      <c r="M131" s="12"/>
      <c r="N131" s="12"/>
      <c r="O131" s="12"/>
      <c r="P131" s="12">
        <f>+N131-O131</f>
        <v>0</v>
      </c>
      <c r="Q131" s="13"/>
      <c r="R131" s="12">
        <f t="shared" si="48"/>
        <v>1953000</v>
      </c>
      <c r="S131" s="12">
        <f t="shared" si="48"/>
        <v>2787423.92</v>
      </c>
      <c r="T131" s="14">
        <f>+R131-S131</f>
        <v>-834423.91999999993</v>
      </c>
      <c r="U131" s="17">
        <f t="shared" si="26"/>
        <v>1.4272523911930364</v>
      </c>
    </row>
    <row r="132" spans="2:21" ht="24.95" customHeight="1">
      <c r="B132" s="18"/>
      <c r="C132" s="10"/>
      <c r="D132" s="10"/>
      <c r="E132" s="28"/>
      <c r="F132" s="12"/>
      <c r="G132" s="12"/>
      <c r="H132" s="12"/>
      <c r="I132" s="13"/>
      <c r="J132" s="12"/>
      <c r="K132" s="12"/>
      <c r="L132" s="12"/>
      <c r="M132" s="12"/>
      <c r="N132" s="12"/>
      <c r="O132" s="12"/>
      <c r="P132" s="12"/>
      <c r="Q132" s="13"/>
      <c r="R132" s="12"/>
      <c r="S132" s="12"/>
      <c r="T132" s="14"/>
      <c r="U132" s="17"/>
    </row>
    <row r="133" spans="2:21" ht="24.95" customHeight="1">
      <c r="B133" s="18"/>
      <c r="C133" s="20" t="s">
        <v>121</v>
      </c>
      <c r="D133" s="20"/>
      <c r="E133" s="10"/>
      <c r="F133" s="12"/>
      <c r="G133" s="12"/>
      <c r="H133" s="12"/>
      <c r="I133" s="13"/>
      <c r="J133" s="12"/>
      <c r="K133" s="12"/>
      <c r="L133" s="12"/>
      <c r="M133" s="12"/>
      <c r="N133" s="12"/>
      <c r="O133" s="12"/>
      <c r="P133" s="12"/>
      <c r="Q133" s="13"/>
      <c r="R133" s="12"/>
      <c r="S133" s="12"/>
      <c r="T133" s="14"/>
      <c r="U133" s="17"/>
    </row>
    <row r="134" spans="2:21" ht="24.95" customHeight="1">
      <c r="B134" s="18"/>
      <c r="C134" s="20"/>
      <c r="D134" s="20"/>
      <c r="E134" s="10" t="s">
        <v>122</v>
      </c>
      <c r="F134" s="12">
        <v>56422000</v>
      </c>
      <c r="G134" s="12">
        <v>39434369.030000001</v>
      </c>
      <c r="H134" s="12">
        <f>+F134-G134</f>
        <v>16987630.969999999</v>
      </c>
      <c r="I134" s="13"/>
      <c r="J134" s="12"/>
      <c r="K134" s="12"/>
      <c r="L134" s="12">
        <f>+J134-K134</f>
        <v>0</v>
      </c>
      <c r="M134" s="12"/>
      <c r="N134" s="12"/>
      <c r="O134" s="12"/>
      <c r="P134" s="12">
        <f>+N134-O134</f>
        <v>0</v>
      </c>
      <c r="Q134" s="13"/>
      <c r="R134" s="12">
        <f t="shared" ref="R134:S136" si="49">+F134+J134+N134</f>
        <v>56422000</v>
      </c>
      <c r="S134" s="12">
        <f t="shared" si="49"/>
        <v>39434369.030000001</v>
      </c>
      <c r="T134" s="14">
        <f>+R134-S134</f>
        <v>16987630.969999999</v>
      </c>
      <c r="U134" s="17">
        <f t="shared" si="26"/>
        <v>0.69891831253766268</v>
      </c>
    </row>
    <row r="135" spans="2:21" ht="27.75" customHeight="1">
      <c r="B135" s="18"/>
      <c r="C135" s="10"/>
      <c r="D135" s="10"/>
      <c r="E135" s="22" t="s">
        <v>123</v>
      </c>
      <c r="F135" s="12">
        <v>21328000</v>
      </c>
      <c r="G135" s="12">
        <v>17900072.16</v>
      </c>
      <c r="H135" s="12">
        <f>+F135-G135</f>
        <v>3427927.84</v>
      </c>
      <c r="I135" s="13"/>
      <c r="J135" s="12"/>
      <c r="K135" s="12"/>
      <c r="L135" s="12">
        <f>+J135-K135</f>
        <v>0</v>
      </c>
      <c r="M135" s="12"/>
      <c r="N135" s="12"/>
      <c r="O135" s="12"/>
      <c r="P135" s="12">
        <f>+N135-O135</f>
        <v>0</v>
      </c>
      <c r="Q135" s="13"/>
      <c r="R135" s="12">
        <f t="shared" si="49"/>
        <v>21328000</v>
      </c>
      <c r="S135" s="12">
        <f t="shared" si="49"/>
        <v>17900072.16</v>
      </c>
      <c r="T135" s="14">
        <f>+R135-S135</f>
        <v>3427927.84</v>
      </c>
      <c r="U135" s="17">
        <f t="shared" si="26"/>
        <v>0.83927570142535635</v>
      </c>
    </row>
    <row r="136" spans="2:21" ht="27.75" customHeight="1">
      <c r="B136" s="18"/>
      <c r="C136" s="10"/>
      <c r="D136" s="10"/>
      <c r="E136" s="22" t="s">
        <v>124</v>
      </c>
      <c r="F136" s="12">
        <v>10104000</v>
      </c>
      <c r="G136" s="12">
        <v>4853301.6100000003</v>
      </c>
      <c r="H136" s="12">
        <f>+F136-G136</f>
        <v>5250698.3899999997</v>
      </c>
      <c r="I136" s="13"/>
      <c r="J136" s="12"/>
      <c r="K136" s="12"/>
      <c r="L136" s="12">
        <f>+J136-K136</f>
        <v>0</v>
      </c>
      <c r="M136" s="12"/>
      <c r="N136" s="12"/>
      <c r="O136" s="12"/>
      <c r="P136" s="12">
        <f>+N136-O136</f>
        <v>0</v>
      </c>
      <c r="Q136" s="13"/>
      <c r="R136" s="12">
        <f t="shared" si="49"/>
        <v>10104000</v>
      </c>
      <c r="S136" s="12">
        <f t="shared" si="49"/>
        <v>4853301.6100000003</v>
      </c>
      <c r="T136" s="14">
        <f>+R136-S136</f>
        <v>5250698.3899999997</v>
      </c>
      <c r="U136" s="17">
        <f t="shared" si="26"/>
        <v>0.48033468032462395</v>
      </c>
    </row>
    <row r="137" spans="2:21" ht="27.75" customHeight="1">
      <c r="B137" s="18"/>
      <c r="C137" s="10"/>
      <c r="D137" s="10"/>
      <c r="E137" s="31" t="s">
        <v>51</v>
      </c>
      <c r="F137" s="32">
        <f>SUM(F108:F136)</f>
        <v>416484739</v>
      </c>
      <c r="G137" s="32">
        <f t="shared" ref="G137:S137" si="50">SUM(G108:G136)</f>
        <v>362231182.8300001</v>
      </c>
      <c r="H137" s="32">
        <f t="shared" si="50"/>
        <v>54253556.169999972</v>
      </c>
      <c r="I137" s="32">
        <f t="shared" si="50"/>
        <v>0</v>
      </c>
      <c r="J137" s="32">
        <f>SUM(J108:J136)</f>
        <v>104196123.18000001</v>
      </c>
      <c r="K137" s="32">
        <f>SUM(K108:K136)</f>
        <v>60839924.820000008</v>
      </c>
      <c r="L137" s="32">
        <f>SUM(L108:L136)</f>
        <v>43356198.359999999</v>
      </c>
      <c r="M137" s="32">
        <f t="shared" si="50"/>
        <v>0</v>
      </c>
      <c r="N137" s="32">
        <f>SUM(N108:N136)</f>
        <v>10037968</v>
      </c>
      <c r="O137" s="32">
        <f>SUM(O108:O136)</f>
        <v>5000173.88</v>
      </c>
      <c r="P137" s="32">
        <f>SUM(P108:P136)</f>
        <v>5037794.12</v>
      </c>
      <c r="Q137" s="32">
        <f t="shared" si="50"/>
        <v>0</v>
      </c>
      <c r="R137" s="32">
        <f t="shared" si="50"/>
        <v>530718830.18000001</v>
      </c>
      <c r="S137" s="32">
        <f t="shared" si="50"/>
        <v>428071281.53000015</v>
      </c>
      <c r="T137" s="34">
        <f>SUM(T108:T136)</f>
        <v>102647548.64999998</v>
      </c>
      <c r="U137" s="17">
        <f t="shared" si="26"/>
        <v>0.8065877017870543</v>
      </c>
    </row>
    <row r="138" spans="2:21" ht="24.95" customHeight="1">
      <c r="B138" s="18"/>
      <c r="C138" s="10"/>
      <c r="D138" s="10"/>
      <c r="E138" s="22"/>
      <c r="F138" s="12"/>
      <c r="G138" s="12"/>
      <c r="H138" s="12"/>
      <c r="I138" s="13"/>
      <c r="J138" s="12"/>
      <c r="K138" s="12"/>
      <c r="L138" s="12"/>
      <c r="M138" s="12"/>
      <c r="N138" s="12"/>
      <c r="O138" s="12"/>
      <c r="P138" s="12"/>
      <c r="Q138" s="13"/>
      <c r="R138" s="12"/>
      <c r="S138" s="12"/>
      <c r="T138" s="14"/>
      <c r="U138" s="17"/>
    </row>
    <row r="139" spans="2:21" ht="27.75" customHeight="1">
      <c r="B139" s="18"/>
      <c r="C139" s="24" t="s">
        <v>147</v>
      </c>
      <c r="D139" s="10"/>
      <c r="E139" s="22"/>
      <c r="F139" s="32"/>
      <c r="G139" s="32"/>
      <c r="H139" s="32"/>
      <c r="I139" s="33"/>
      <c r="J139" s="32"/>
      <c r="K139" s="32"/>
      <c r="L139" s="32"/>
      <c r="M139" s="32"/>
      <c r="N139" s="32"/>
      <c r="O139" s="32"/>
      <c r="P139" s="32"/>
      <c r="Q139" s="33"/>
      <c r="R139" s="32"/>
      <c r="S139" s="32"/>
      <c r="T139" s="34"/>
      <c r="U139" s="17"/>
    </row>
    <row r="140" spans="2:21" ht="27.75" customHeight="1">
      <c r="B140" s="18"/>
      <c r="C140" s="10"/>
      <c r="D140" s="10"/>
      <c r="E140" s="10" t="s">
        <v>148</v>
      </c>
      <c r="F140" s="12">
        <v>34002000</v>
      </c>
      <c r="G140" s="12">
        <v>20661269.66</v>
      </c>
      <c r="H140" s="12">
        <f>+F140-G140</f>
        <v>13340730.34</v>
      </c>
      <c r="I140" s="13"/>
      <c r="J140" s="12"/>
      <c r="K140" s="12"/>
      <c r="L140" s="12">
        <f>+J140-K140</f>
        <v>0</v>
      </c>
      <c r="M140" s="12"/>
      <c r="N140" s="12"/>
      <c r="O140" s="12"/>
      <c r="P140" s="12">
        <f>+N140-O140</f>
        <v>0</v>
      </c>
      <c r="Q140" s="13"/>
      <c r="R140" s="12">
        <f t="shared" ref="R140:S141" si="51">+F140+J140+N140</f>
        <v>34002000</v>
      </c>
      <c r="S140" s="12">
        <f t="shared" si="51"/>
        <v>20661269.66</v>
      </c>
      <c r="T140" s="14">
        <f>+R140-S140</f>
        <v>13340730.34</v>
      </c>
      <c r="U140" s="17">
        <f t="shared" ref="U140:U141" si="52">+S140/R140</f>
        <v>0.60764865772601617</v>
      </c>
    </row>
    <row r="141" spans="2:21" ht="27.75" customHeight="1">
      <c r="B141" s="18"/>
      <c r="C141" s="10"/>
      <c r="D141" s="10"/>
      <c r="E141" s="10" t="s">
        <v>149</v>
      </c>
      <c r="F141" s="12">
        <v>30770000</v>
      </c>
      <c r="G141" s="12">
        <v>19001084.690000001</v>
      </c>
      <c r="H141" s="12">
        <f>+F141-G141</f>
        <v>11768915.309999999</v>
      </c>
      <c r="I141" s="13"/>
      <c r="J141" s="12"/>
      <c r="K141" s="12"/>
      <c r="L141" s="12">
        <f>+J141-K141</f>
        <v>0</v>
      </c>
      <c r="M141" s="12"/>
      <c r="N141" s="12"/>
      <c r="O141" s="12"/>
      <c r="P141" s="12">
        <f>+N141-O141</f>
        <v>0</v>
      </c>
      <c r="Q141" s="13"/>
      <c r="R141" s="12">
        <f t="shared" si="51"/>
        <v>30770000</v>
      </c>
      <c r="S141" s="12">
        <f t="shared" si="51"/>
        <v>19001084.690000001</v>
      </c>
      <c r="T141" s="14">
        <f>+R141-S141</f>
        <v>11768915.309999999</v>
      </c>
      <c r="U141" s="17">
        <f t="shared" si="52"/>
        <v>0.61751981442963932</v>
      </c>
    </row>
    <row r="142" spans="2:21" ht="24.95" customHeight="1">
      <c r="B142" s="18"/>
      <c r="C142" s="10"/>
      <c r="D142" s="10"/>
      <c r="E142" s="22"/>
      <c r="F142" s="12"/>
      <c r="G142" s="12"/>
      <c r="H142" s="12"/>
      <c r="I142" s="13"/>
      <c r="J142" s="12"/>
      <c r="K142" s="12"/>
      <c r="L142" s="12"/>
      <c r="M142" s="12"/>
      <c r="N142" s="12"/>
      <c r="O142" s="12"/>
      <c r="P142" s="12"/>
      <c r="Q142" s="13"/>
      <c r="R142" s="12"/>
      <c r="S142" s="12"/>
      <c r="T142" s="14"/>
      <c r="U142" s="17"/>
    </row>
    <row r="143" spans="2:21" s="48" customFormat="1" ht="15.75" thickBot="1">
      <c r="B143" s="44"/>
      <c r="C143" s="24"/>
      <c r="D143" s="24"/>
      <c r="E143" s="45" t="s">
        <v>125</v>
      </c>
      <c r="F143" s="46">
        <f>+F8+F51+F81+F104+F137+F49+F50+F140+F141</f>
        <v>3297820520.2900004</v>
      </c>
      <c r="G143" s="46">
        <f t="shared" ref="G143:H143" si="53">+G8+G51+G81+G104+G137+G49+G50+G140+G141</f>
        <v>2811760344.2699995</v>
      </c>
      <c r="H143" s="46">
        <f t="shared" si="53"/>
        <v>486060176.0200001</v>
      </c>
      <c r="I143" s="46">
        <f t="shared" ref="I143:Q143" si="54">+I8+I51+I81+I104+I137+I49+I50</f>
        <v>2208000</v>
      </c>
      <c r="J143" s="46">
        <f>+J8+J51+J81+J104+J137+J49+J50+J140+J141</f>
        <v>405827875.05000001</v>
      </c>
      <c r="K143" s="46">
        <f t="shared" ref="K143:L143" si="55">+K8+K51+K81+K104+K137+K49+K50+K140+K141</f>
        <v>238902716.52999997</v>
      </c>
      <c r="L143" s="46">
        <f t="shared" si="55"/>
        <v>166925158.51999998</v>
      </c>
      <c r="M143" s="46">
        <f t="shared" si="54"/>
        <v>0</v>
      </c>
      <c r="N143" s="46">
        <f>+N8+N51+N81+N104+N137+N49+N50+N140+N141</f>
        <v>125277543.06999999</v>
      </c>
      <c r="O143" s="46">
        <f t="shared" ref="O143:P143" si="56">+O8+O51+O81+O104+O137+O49+O50+O140+O141</f>
        <v>90615914.950000003</v>
      </c>
      <c r="P143" s="46">
        <f t="shared" si="56"/>
        <v>34661628.119999997</v>
      </c>
      <c r="Q143" s="46">
        <f t="shared" si="54"/>
        <v>0</v>
      </c>
      <c r="R143" s="46">
        <f>+R8+R51+R81+R104+R137+R49+R50+R140+R141</f>
        <v>3828925938.4099998</v>
      </c>
      <c r="S143" s="46">
        <f t="shared" ref="S143:T143" si="57">+S8+S51+S81+S104+S137+S49+S50+S140+S141</f>
        <v>3141278975.7500005</v>
      </c>
      <c r="T143" s="46">
        <f t="shared" si="57"/>
        <v>687646962.66000009</v>
      </c>
      <c r="U143" s="47">
        <f>+S143/R143</f>
        <v>0.82040734824305539</v>
      </c>
    </row>
    <row r="144" spans="2:21" ht="15.75" thickTop="1" thickBot="1">
      <c r="B144" s="49"/>
      <c r="C144" s="50"/>
      <c r="D144" s="50"/>
      <c r="E144" s="51"/>
      <c r="F144" s="52"/>
      <c r="G144" s="52"/>
      <c r="H144" s="52"/>
      <c r="I144" s="53"/>
      <c r="J144" s="54"/>
      <c r="K144" s="54"/>
      <c r="L144" s="54"/>
      <c r="M144" s="54"/>
      <c r="N144" s="54"/>
      <c r="O144" s="54"/>
      <c r="P144" s="54"/>
      <c r="Q144" s="53"/>
      <c r="R144" s="54"/>
      <c r="S144" s="54"/>
      <c r="T144" s="55"/>
      <c r="U144" s="56"/>
    </row>
    <row r="145" spans="6:20" ht="24.95" customHeight="1">
      <c r="F145" s="30">
        <f>+F143+J143</f>
        <v>3703648395.3400006</v>
      </c>
      <c r="G145" s="30">
        <f>+G143+K143</f>
        <v>3050663060.7999992</v>
      </c>
      <c r="H145" s="30">
        <f>+F145-G145</f>
        <v>652985334.54000139</v>
      </c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6:20" ht="24.95" customHeight="1">
      <c r="F146" s="58" t="s">
        <v>126</v>
      </c>
      <c r="J146" s="58" t="s">
        <v>127</v>
      </c>
      <c r="K146" s="30"/>
      <c r="N146" s="58" t="s">
        <v>128</v>
      </c>
      <c r="R146" s="13"/>
      <c r="S146" s="13"/>
      <c r="T146" s="13"/>
    </row>
    <row r="147" spans="6:20" ht="24.95" customHeight="1">
      <c r="R147" s="13"/>
      <c r="S147" s="13"/>
      <c r="T147" s="13"/>
    </row>
    <row r="148" spans="6:20" ht="24.95" customHeight="1">
      <c r="F148" s="59" t="s">
        <v>129</v>
      </c>
      <c r="J148" s="59" t="s">
        <v>130</v>
      </c>
      <c r="N148" s="59" t="s">
        <v>131</v>
      </c>
      <c r="R148" s="30"/>
      <c r="S148" s="30"/>
      <c r="T148" s="30"/>
    </row>
    <row r="149" spans="6:20" ht="17.25" customHeight="1">
      <c r="F149" s="58" t="s">
        <v>132</v>
      </c>
      <c r="J149" s="58" t="s">
        <v>133</v>
      </c>
      <c r="N149" s="58" t="s">
        <v>134</v>
      </c>
    </row>
  </sheetData>
  <autoFilter ref="B7:U140"/>
  <mergeCells count="11">
    <mergeCell ref="U5:U6"/>
    <mergeCell ref="C11:E11"/>
    <mergeCell ref="B1:T1"/>
    <mergeCell ref="B2:T2"/>
    <mergeCell ref="B3:T3"/>
    <mergeCell ref="B4:T4"/>
    <mergeCell ref="B5:E6"/>
    <mergeCell ref="F5:H5"/>
    <mergeCell ref="J5:L5"/>
    <mergeCell ref="N5:P5"/>
    <mergeCell ref="R5:T5"/>
  </mergeCells>
  <pageMargins left="1.25" right="0" top="0.36" bottom="0.3" header="0.27" footer="0.17"/>
  <pageSetup paperSize="5" scale="55" orientation="landscape" horizontalDpi="0" verticalDpi="0" r:id="rId1"/>
  <headerFooter>
    <oddFooter>&amp;R&amp;"-,Italic"&amp;8Page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Y149"/>
  <sheetViews>
    <sheetView zoomScale="75" zoomScaleNormal="75" workbookViewId="0">
      <pane xSplit="5" ySplit="6" topLeftCell="F55" activePane="bottomRight" state="frozen"/>
      <selection pane="topRight" activeCell="F1" sqref="F1"/>
      <selection pane="bottomLeft" activeCell="A7" sqref="A7"/>
      <selection pane="bottomRight" activeCell="C61" sqref="C61"/>
    </sheetView>
  </sheetViews>
  <sheetFormatPr defaultRowHeight="24.95" customHeight="1"/>
  <cols>
    <col min="1" max="4" width="2.7109375" style="2" customWidth="1"/>
    <col min="5" max="5" width="50.5703125" style="57" customWidth="1"/>
    <col min="6" max="7" width="19.28515625" style="2" customWidth="1"/>
    <col min="8" max="8" width="18.5703125" style="2" customWidth="1"/>
    <col min="9" max="9" width="0.7109375" style="2" customWidth="1"/>
    <col min="10" max="10" width="24" style="2" bestFit="1" customWidth="1"/>
    <col min="11" max="11" width="18.7109375" style="2" bestFit="1" customWidth="1"/>
    <col min="12" max="12" width="19.42578125" style="2" bestFit="1" customWidth="1"/>
    <col min="13" max="13" width="0.5703125" style="2" customWidth="1"/>
    <col min="14" max="15" width="18.7109375" style="2" bestFit="1" customWidth="1"/>
    <col min="16" max="16" width="16.5703125" style="2" customWidth="1"/>
    <col min="17" max="17" width="0.7109375" style="2" customWidth="1"/>
    <col min="18" max="19" width="19.85546875" style="2" bestFit="1" customWidth="1"/>
    <col min="20" max="20" width="18.7109375" style="2" bestFit="1" customWidth="1"/>
    <col min="21" max="21" width="14.5703125" style="1" customWidth="1"/>
    <col min="22" max="22" width="9.140625" style="2"/>
    <col min="23" max="23" width="13.140625" style="2" bestFit="1" customWidth="1"/>
    <col min="24" max="256" width="9.140625" style="2"/>
    <col min="257" max="260" width="2.7109375" style="2" customWidth="1"/>
    <col min="261" max="261" width="50.5703125" style="2" customWidth="1"/>
    <col min="262" max="263" width="19.28515625" style="2" customWidth="1"/>
    <col min="264" max="264" width="18.5703125" style="2" customWidth="1"/>
    <col min="265" max="265" width="0.7109375" style="2" customWidth="1"/>
    <col min="266" max="266" width="24" style="2" bestFit="1" customWidth="1"/>
    <col min="267" max="267" width="18.7109375" style="2" bestFit="1" customWidth="1"/>
    <col min="268" max="268" width="19.42578125" style="2" bestFit="1" customWidth="1"/>
    <col min="269" max="269" width="0.5703125" style="2" customWidth="1"/>
    <col min="270" max="271" width="18.7109375" style="2" bestFit="1" customWidth="1"/>
    <col min="272" max="272" width="16.5703125" style="2" customWidth="1"/>
    <col min="273" max="273" width="0.7109375" style="2" customWidth="1"/>
    <col min="274" max="275" width="19.85546875" style="2" bestFit="1" customWidth="1"/>
    <col min="276" max="276" width="18.7109375" style="2" bestFit="1" customWidth="1"/>
    <col min="277" max="277" width="14.5703125" style="2" customWidth="1"/>
    <col min="278" max="278" width="9.140625" style="2"/>
    <col min="279" max="279" width="13.140625" style="2" bestFit="1" customWidth="1"/>
    <col min="280" max="512" width="9.140625" style="2"/>
    <col min="513" max="516" width="2.7109375" style="2" customWidth="1"/>
    <col min="517" max="517" width="50.5703125" style="2" customWidth="1"/>
    <col min="518" max="519" width="19.28515625" style="2" customWidth="1"/>
    <col min="520" max="520" width="18.5703125" style="2" customWidth="1"/>
    <col min="521" max="521" width="0.7109375" style="2" customWidth="1"/>
    <col min="522" max="522" width="24" style="2" bestFit="1" customWidth="1"/>
    <col min="523" max="523" width="18.7109375" style="2" bestFit="1" customWidth="1"/>
    <col min="524" max="524" width="19.42578125" style="2" bestFit="1" customWidth="1"/>
    <col min="525" max="525" width="0.5703125" style="2" customWidth="1"/>
    <col min="526" max="527" width="18.7109375" style="2" bestFit="1" customWidth="1"/>
    <col min="528" max="528" width="16.5703125" style="2" customWidth="1"/>
    <col min="529" max="529" width="0.7109375" style="2" customWidth="1"/>
    <col min="530" max="531" width="19.85546875" style="2" bestFit="1" customWidth="1"/>
    <col min="532" max="532" width="18.7109375" style="2" bestFit="1" customWidth="1"/>
    <col min="533" max="533" width="14.5703125" style="2" customWidth="1"/>
    <col min="534" max="534" width="9.140625" style="2"/>
    <col min="535" max="535" width="13.140625" style="2" bestFit="1" customWidth="1"/>
    <col min="536" max="768" width="9.140625" style="2"/>
    <col min="769" max="772" width="2.7109375" style="2" customWidth="1"/>
    <col min="773" max="773" width="50.5703125" style="2" customWidth="1"/>
    <col min="774" max="775" width="19.28515625" style="2" customWidth="1"/>
    <col min="776" max="776" width="18.5703125" style="2" customWidth="1"/>
    <col min="777" max="777" width="0.7109375" style="2" customWidth="1"/>
    <col min="778" max="778" width="24" style="2" bestFit="1" customWidth="1"/>
    <col min="779" max="779" width="18.7109375" style="2" bestFit="1" customWidth="1"/>
    <col min="780" max="780" width="19.42578125" style="2" bestFit="1" customWidth="1"/>
    <col min="781" max="781" width="0.5703125" style="2" customWidth="1"/>
    <col min="782" max="783" width="18.7109375" style="2" bestFit="1" customWidth="1"/>
    <col min="784" max="784" width="16.5703125" style="2" customWidth="1"/>
    <col min="785" max="785" width="0.7109375" style="2" customWidth="1"/>
    <col min="786" max="787" width="19.85546875" style="2" bestFit="1" customWidth="1"/>
    <col min="788" max="788" width="18.7109375" style="2" bestFit="1" customWidth="1"/>
    <col min="789" max="789" width="14.5703125" style="2" customWidth="1"/>
    <col min="790" max="790" width="9.140625" style="2"/>
    <col min="791" max="791" width="13.140625" style="2" bestFit="1" customWidth="1"/>
    <col min="792" max="1024" width="9.140625" style="2"/>
    <col min="1025" max="1028" width="2.7109375" style="2" customWidth="1"/>
    <col min="1029" max="1029" width="50.5703125" style="2" customWidth="1"/>
    <col min="1030" max="1031" width="19.28515625" style="2" customWidth="1"/>
    <col min="1032" max="1032" width="18.5703125" style="2" customWidth="1"/>
    <col min="1033" max="1033" width="0.7109375" style="2" customWidth="1"/>
    <col min="1034" max="1034" width="24" style="2" bestFit="1" customWidth="1"/>
    <col min="1035" max="1035" width="18.7109375" style="2" bestFit="1" customWidth="1"/>
    <col min="1036" max="1036" width="19.42578125" style="2" bestFit="1" customWidth="1"/>
    <col min="1037" max="1037" width="0.5703125" style="2" customWidth="1"/>
    <col min="1038" max="1039" width="18.7109375" style="2" bestFit="1" customWidth="1"/>
    <col min="1040" max="1040" width="16.5703125" style="2" customWidth="1"/>
    <col min="1041" max="1041" width="0.7109375" style="2" customWidth="1"/>
    <col min="1042" max="1043" width="19.85546875" style="2" bestFit="1" customWidth="1"/>
    <col min="1044" max="1044" width="18.7109375" style="2" bestFit="1" customWidth="1"/>
    <col min="1045" max="1045" width="14.5703125" style="2" customWidth="1"/>
    <col min="1046" max="1046" width="9.140625" style="2"/>
    <col min="1047" max="1047" width="13.140625" style="2" bestFit="1" customWidth="1"/>
    <col min="1048" max="1280" width="9.140625" style="2"/>
    <col min="1281" max="1284" width="2.7109375" style="2" customWidth="1"/>
    <col min="1285" max="1285" width="50.5703125" style="2" customWidth="1"/>
    <col min="1286" max="1287" width="19.28515625" style="2" customWidth="1"/>
    <col min="1288" max="1288" width="18.5703125" style="2" customWidth="1"/>
    <col min="1289" max="1289" width="0.7109375" style="2" customWidth="1"/>
    <col min="1290" max="1290" width="24" style="2" bestFit="1" customWidth="1"/>
    <col min="1291" max="1291" width="18.7109375" style="2" bestFit="1" customWidth="1"/>
    <col min="1292" max="1292" width="19.42578125" style="2" bestFit="1" customWidth="1"/>
    <col min="1293" max="1293" width="0.5703125" style="2" customWidth="1"/>
    <col min="1294" max="1295" width="18.7109375" style="2" bestFit="1" customWidth="1"/>
    <col min="1296" max="1296" width="16.5703125" style="2" customWidth="1"/>
    <col min="1297" max="1297" width="0.7109375" style="2" customWidth="1"/>
    <col min="1298" max="1299" width="19.85546875" style="2" bestFit="1" customWidth="1"/>
    <col min="1300" max="1300" width="18.7109375" style="2" bestFit="1" customWidth="1"/>
    <col min="1301" max="1301" width="14.5703125" style="2" customWidth="1"/>
    <col min="1302" max="1302" width="9.140625" style="2"/>
    <col min="1303" max="1303" width="13.140625" style="2" bestFit="1" customWidth="1"/>
    <col min="1304" max="1536" width="9.140625" style="2"/>
    <col min="1537" max="1540" width="2.7109375" style="2" customWidth="1"/>
    <col min="1541" max="1541" width="50.5703125" style="2" customWidth="1"/>
    <col min="1542" max="1543" width="19.28515625" style="2" customWidth="1"/>
    <col min="1544" max="1544" width="18.5703125" style="2" customWidth="1"/>
    <col min="1545" max="1545" width="0.7109375" style="2" customWidth="1"/>
    <col min="1546" max="1546" width="24" style="2" bestFit="1" customWidth="1"/>
    <col min="1547" max="1547" width="18.7109375" style="2" bestFit="1" customWidth="1"/>
    <col min="1548" max="1548" width="19.42578125" style="2" bestFit="1" customWidth="1"/>
    <col min="1549" max="1549" width="0.5703125" style="2" customWidth="1"/>
    <col min="1550" max="1551" width="18.7109375" style="2" bestFit="1" customWidth="1"/>
    <col min="1552" max="1552" width="16.5703125" style="2" customWidth="1"/>
    <col min="1553" max="1553" width="0.7109375" style="2" customWidth="1"/>
    <col min="1554" max="1555" width="19.85546875" style="2" bestFit="1" customWidth="1"/>
    <col min="1556" max="1556" width="18.7109375" style="2" bestFit="1" customWidth="1"/>
    <col min="1557" max="1557" width="14.5703125" style="2" customWidth="1"/>
    <col min="1558" max="1558" width="9.140625" style="2"/>
    <col min="1559" max="1559" width="13.140625" style="2" bestFit="1" customWidth="1"/>
    <col min="1560" max="1792" width="9.140625" style="2"/>
    <col min="1793" max="1796" width="2.7109375" style="2" customWidth="1"/>
    <col min="1797" max="1797" width="50.5703125" style="2" customWidth="1"/>
    <col min="1798" max="1799" width="19.28515625" style="2" customWidth="1"/>
    <col min="1800" max="1800" width="18.5703125" style="2" customWidth="1"/>
    <col min="1801" max="1801" width="0.7109375" style="2" customWidth="1"/>
    <col min="1802" max="1802" width="24" style="2" bestFit="1" customWidth="1"/>
    <col min="1803" max="1803" width="18.7109375" style="2" bestFit="1" customWidth="1"/>
    <col min="1804" max="1804" width="19.42578125" style="2" bestFit="1" customWidth="1"/>
    <col min="1805" max="1805" width="0.5703125" style="2" customWidth="1"/>
    <col min="1806" max="1807" width="18.7109375" style="2" bestFit="1" customWidth="1"/>
    <col min="1808" max="1808" width="16.5703125" style="2" customWidth="1"/>
    <col min="1809" max="1809" width="0.7109375" style="2" customWidth="1"/>
    <col min="1810" max="1811" width="19.85546875" style="2" bestFit="1" customWidth="1"/>
    <col min="1812" max="1812" width="18.7109375" style="2" bestFit="1" customWidth="1"/>
    <col min="1813" max="1813" width="14.5703125" style="2" customWidth="1"/>
    <col min="1814" max="1814" width="9.140625" style="2"/>
    <col min="1815" max="1815" width="13.140625" style="2" bestFit="1" customWidth="1"/>
    <col min="1816" max="2048" width="9.140625" style="2"/>
    <col min="2049" max="2052" width="2.7109375" style="2" customWidth="1"/>
    <col min="2053" max="2053" width="50.5703125" style="2" customWidth="1"/>
    <col min="2054" max="2055" width="19.28515625" style="2" customWidth="1"/>
    <col min="2056" max="2056" width="18.5703125" style="2" customWidth="1"/>
    <col min="2057" max="2057" width="0.7109375" style="2" customWidth="1"/>
    <col min="2058" max="2058" width="24" style="2" bestFit="1" customWidth="1"/>
    <col min="2059" max="2059" width="18.7109375" style="2" bestFit="1" customWidth="1"/>
    <col min="2060" max="2060" width="19.42578125" style="2" bestFit="1" customWidth="1"/>
    <col min="2061" max="2061" width="0.5703125" style="2" customWidth="1"/>
    <col min="2062" max="2063" width="18.7109375" style="2" bestFit="1" customWidth="1"/>
    <col min="2064" max="2064" width="16.5703125" style="2" customWidth="1"/>
    <col min="2065" max="2065" width="0.7109375" style="2" customWidth="1"/>
    <col min="2066" max="2067" width="19.85546875" style="2" bestFit="1" customWidth="1"/>
    <col min="2068" max="2068" width="18.7109375" style="2" bestFit="1" customWidth="1"/>
    <col min="2069" max="2069" width="14.5703125" style="2" customWidth="1"/>
    <col min="2070" max="2070" width="9.140625" style="2"/>
    <col min="2071" max="2071" width="13.140625" style="2" bestFit="1" customWidth="1"/>
    <col min="2072" max="2304" width="9.140625" style="2"/>
    <col min="2305" max="2308" width="2.7109375" style="2" customWidth="1"/>
    <col min="2309" max="2309" width="50.5703125" style="2" customWidth="1"/>
    <col min="2310" max="2311" width="19.28515625" style="2" customWidth="1"/>
    <col min="2312" max="2312" width="18.5703125" style="2" customWidth="1"/>
    <col min="2313" max="2313" width="0.7109375" style="2" customWidth="1"/>
    <col min="2314" max="2314" width="24" style="2" bestFit="1" customWidth="1"/>
    <col min="2315" max="2315" width="18.7109375" style="2" bestFit="1" customWidth="1"/>
    <col min="2316" max="2316" width="19.42578125" style="2" bestFit="1" customWidth="1"/>
    <col min="2317" max="2317" width="0.5703125" style="2" customWidth="1"/>
    <col min="2318" max="2319" width="18.7109375" style="2" bestFit="1" customWidth="1"/>
    <col min="2320" max="2320" width="16.5703125" style="2" customWidth="1"/>
    <col min="2321" max="2321" width="0.7109375" style="2" customWidth="1"/>
    <col min="2322" max="2323" width="19.85546875" style="2" bestFit="1" customWidth="1"/>
    <col min="2324" max="2324" width="18.7109375" style="2" bestFit="1" customWidth="1"/>
    <col min="2325" max="2325" width="14.5703125" style="2" customWidth="1"/>
    <col min="2326" max="2326" width="9.140625" style="2"/>
    <col min="2327" max="2327" width="13.140625" style="2" bestFit="1" customWidth="1"/>
    <col min="2328" max="2560" width="9.140625" style="2"/>
    <col min="2561" max="2564" width="2.7109375" style="2" customWidth="1"/>
    <col min="2565" max="2565" width="50.5703125" style="2" customWidth="1"/>
    <col min="2566" max="2567" width="19.28515625" style="2" customWidth="1"/>
    <col min="2568" max="2568" width="18.5703125" style="2" customWidth="1"/>
    <col min="2569" max="2569" width="0.7109375" style="2" customWidth="1"/>
    <col min="2570" max="2570" width="24" style="2" bestFit="1" customWidth="1"/>
    <col min="2571" max="2571" width="18.7109375" style="2" bestFit="1" customWidth="1"/>
    <col min="2572" max="2572" width="19.42578125" style="2" bestFit="1" customWidth="1"/>
    <col min="2573" max="2573" width="0.5703125" style="2" customWidth="1"/>
    <col min="2574" max="2575" width="18.7109375" style="2" bestFit="1" customWidth="1"/>
    <col min="2576" max="2576" width="16.5703125" style="2" customWidth="1"/>
    <col min="2577" max="2577" width="0.7109375" style="2" customWidth="1"/>
    <col min="2578" max="2579" width="19.85546875" style="2" bestFit="1" customWidth="1"/>
    <col min="2580" max="2580" width="18.7109375" style="2" bestFit="1" customWidth="1"/>
    <col min="2581" max="2581" width="14.5703125" style="2" customWidth="1"/>
    <col min="2582" max="2582" width="9.140625" style="2"/>
    <col min="2583" max="2583" width="13.140625" style="2" bestFit="1" customWidth="1"/>
    <col min="2584" max="2816" width="9.140625" style="2"/>
    <col min="2817" max="2820" width="2.7109375" style="2" customWidth="1"/>
    <col min="2821" max="2821" width="50.5703125" style="2" customWidth="1"/>
    <col min="2822" max="2823" width="19.28515625" style="2" customWidth="1"/>
    <col min="2824" max="2824" width="18.5703125" style="2" customWidth="1"/>
    <col min="2825" max="2825" width="0.7109375" style="2" customWidth="1"/>
    <col min="2826" max="2826" width="24" style="2" bestFit="1" customWidth="1"/>
    <col min="2827" max="2827" width="18.7109375" style="2" bestFit="1" customWidth="1"/>
    <col min="2828" max="2828" width="19.42578125" style="2" bestFit="1" customWidth="1"/>
    <col min="2829" max="2829" width="0.5703125" style="2" customWidth="1"/>
    <col min="2830" max="2831" width="18.7109375" style="2" bestFit="1" customWidth="1"/>
    <col min="2832" max="2832" width="16.5703125" style="2" customWidth="1"/>
    <col min="2833" max="2833" width="0.7109375" style="2" customWidth="1"/>
    <col min="2834" max="2835" width="19.85546875" style="2" bestFit="1" customWidth="1"/>
    <col min="2836" max="2836" width="18.7109375" style="2" bestFit="1" customWidth="1"/>
    <col min="2837" max="2837" width="14.5703125" style="2" customWidth="1"/>
    <col min="2838" max="2838" width="9.140625" style="2"/>
    <col min="2839" max="2839" width="13.140625" style="2" bestFit="1" customWidth="1"/>
    <col min="2840" max="3072" width="9.140625" style="2"/>
    <col min="3073" max="3076" width="2.7109375" style="2" customWidth="1"/>
    <col min="3077" max="3077" width="50.5703125" style="2" customWidth="1"/>
    <col min="3078" max="3079" width="19.28515625" style="2" customWidth="1"/>
    <col min="3080" max="3080" width="18.5703125" style="2" customWidth="1"/>
    <col min="3081" max="3081" width="0.7109375" style="2" customWidth="1"/>
    <col min="3082" max="3082" width="24" style="2" bestFit="1" customWidth="1"/>
    <col min="3083" max="3083" width="18.7109375" style="2" bestFit="1" customWidth="1"/>
    <col min="3084" max="3084" width="19.42578125" style="2" bestFit="1" customWidth="1"/>
    <col min="3085" max="3085" width="0.5703125" style="2" customWidth="1"/>
    <col min="3086" max="3087" width="18.7109375" style="2" bestFit="1" customWidth="1"/>
    <col min="3088" max="3088" width="16.5703125" style="2" customWidth="1"/>
    <col min="3089" max="3089" width="0.7109375" style="2" customWidth="1"/>
    <col min="3090" max="3091" width="19.85546875" style="2" bestFit="1" customWidth="1"/>
    <col min="3092" max="3092" width="18.7109375" style="2" bestFit="1" customWidth="1"/>
    <col min="3093" max="3093" width="14.5703125" style="2" customWidth="1"/>
    <col min="3094" max="3094" width="9.140625" style="2"/>
    <col min="3095" max="3095" width="13.140625" style="2" bestFit="1" customWidth="1"/>
    <col min="3096" max="3328" width="9.140625" style="2"/>
    <col min="3329" max="3332" width="2.7109375" style="2" customWidth="1"/>
    <col min="3333" max="3333" width="50.5703125" style="2" customWidth="1"/>
    <col min="3334" max="3335" width="19.28515625" style="2" customWidth="1"/>
    <col min="3336" max="3336" width="18.5703125" style="2" customWidth="1"/>
    <col min="3337" max="3337" width="0.7109375" style="2" customWidth="1"/>
    <col min="3338" max="3338" width="24" style="2" bestFit="1" customWidth="1"/>
    <col min="3339" max="3339" width="18.7109375" style="2" bestFit="1" customWidth="1"/>
    <col min="3340" max="3340" width="19.42578125" style="2" bestFit="1" customWidth="1"/>
    <col min="3341" max="3341" width="0.5703125" style="2" customWidth="1"/>
    <col min="3342" max="3343" width="18.7109375" style="2" bestFit="1" customWidth="1"/>
    <col min="3344" max="3344" width="16.5703125" style="2" customWidth="1"/>
    <col min="3345" max="3345" width="0.7109375" style="2" customWidth="1"/>
    <col min="3346" max="3347" width="19.85546875" style="2" bestFit="1" customWidth="1"/>
    <col min="3348" max="3348" width="18.7109375" style="2" bestFit="1" customWidth="1"/>
    <col min="3349" max="3349" width="14.5703125" style="2" customWidth="1"/>
    <col min="3350" max="3350" width="9.140625" style="2"/>
    <col min="3351" max="3351" width="13.140625" style="2" bestFit="1" customWidth="1"/>
    <col min="3352" max="3584" width="9.140625" style="2"/>
    <col min="3585" max="3588" width="2.7109375" style="2" customWidth="1"/>
    <col min="3589" max="3589" width="50.5703125" style="2" customWidth="1"/>
    <col min="3590" max="3591" width="19.28515625" style="2" customWidth="1"/>
    <col min="3592" max="3592" width="18.5703125" style="2" customWidth="1"/>
    <col min="3593" max="3593" width="0.7109375" style="2" customWidth="1"/>
    <col min="3594" max="3594" width="24" style="2" bestFit="1" customWidth="1"/>
    <col min="3595" max="3595" width="18.7109375" style="2" bestFit="1" customWidth="1"/>
    <col min="3596" max="3596" width="19.42578125" style="2" bestFit="1" customWidth="1"/>
    <col min="3597" max="3597" width="0.5703125" style="2" customWidth="1"/>
    <col min="3598" max="3599" width="18.7109375" style="2" bestFit="1" customWidth="1"/>
    <col min="3600" max="3600" width="16.5703125" style="2" customWidth="1"/>
    <col min="3601" max="3601" width="0.7109375" style="2" customWidth="1"/>
    <col min="3602" max="3603" width="19.85546875" style="2" bestFit="1" customWidth="1"/>
    <col min="3604" max="3604" width="18.7109375" style="2" bestFit="1" customWidth="1"/>
    <col min="3605" max="3605" width="14.5703125" style="2" customWidth="1"/>
    <col min="3606" max="3606" width="9.140625" style="2"/>
    <col min="3607" max="3607" width="13.140625" style="2" bestFit="1" customWidth="1"/>
    <col min="3608" max="3840" width="9.140625" style="2"/>
    <col min="3841" max="3844" width="2.7109375" style="2" customWidth="1"/>
    <col min="3845" max="3845" width="50.5703125" style="2" customWidth="1"/>
    <col min="3846" max="3847" width="19.28515625" style="2" customWidth="1"/>
    <col min="3848" max="3848" width="18.5703125" style="2" customWidth="1"/>
    <col min="3849" max="3849" width="0.7109375" style="2" customWidth="1"/>
    <col min="3850" max="3850" width="24" style="2" bestFit="1" customWidth="1"/>
    <col min="3851" max="3851" width="18.7109375" style="2" bestFit="1" customWidth="1"/>
    <col min="3852" max="3852" width="19.42578125" style="2" bestFit="1" customWidth="1"/>
    <col min="3853" max="3853" width="0.5703125" style="2" customWidth="1"/>
    <col min="3854" max="3855" width="18.7109375" style="2" bestFit="1" customWidth="1"/>
    <col min="3856" max="3856" width="16.5703125" style="2" customWidth="1"/>
    <col min="3857" max="3857" width="0.7109375" style="2" customWidth="1"/>
    <col min="3858" max="3859" width="19.85546875" style="2" bestFit="1" customWidth="1"/>
    <col min="3860" max="3860" width="18.7109375" style="2" bestFit="1" customWidth="1"/>
    <col min="3861" max="3861" width="14.5703125" style="2" customWidth="1"/>
    <col min="3862" max="3862" width="9.140625" style="2"/>
    <col min="3863" max="3863" width="13.140625" style="2" bestFit="1" customWidth="1"/>
    <col min="3864" max="4096" width="9.140625" style="2"/>
    <col min="4097" max="4100" width="2.7109375" style="2" customWidth="1"/>
    <col min="4101" max="4101" width="50.5703125" style="2" customWidth="1"/>
    <col min="4102" max="4103" width="19.28515625" style="2" customWidth="1"/>
    <col min="4104" max="4104" width="18.5703125" style="2" customWidth="1"/>
    <col min="4105" max="4105" width="0.7109375" style="2" customWidth="1"/>
    <col min="4106" max="4106" width="24" style="2" bestFit="1" customWidth="1"/>
    <col min="4107" max="4107" width="18.7109375" style="2" bestFit="1" customWidth="1"/>
    <col min="4108" max="4108" width="19.42578125" style="2" bestFit="1" customWidth="1"/>
    <col min="4109" max="4109" width="0.5703125" style="2" customWidth="1"/>
    <col min="4110" max="4111" width="18.7109375" style="2" bestFit="1" customWidth="1"/>
    <col min="4112" max="4112" width="16.5703125" style="2" customWidth="1"/>
    <col min="4113" max="4113" width="0.7109375" style="2" customWidth="1"/>
    <col min="4114" max="4115" width="19.85546875" style="2" bestFit="1" customWidth="1"/>
    <col min="4116" max="4116" width="18.7109375" style="2" bestFit="1" customWidth="1"/>
    <col min="4117" max="4117" width="14.5703125" style="2" customWidth="1"/>
    <col min="4118" max="4118" width="9.140625" style="2"/>
    <col min="4119" max="4119" width="13.140625" style="2" bestFit="1" customWidth="1"/>
    <col min="4120" max="4352" width="9.140625" style="2"/>
    <col min="4353" max="4356" width="2.7109375" style="2" customWidth="1"/>
    <col min="4357" max="4357" width="50.5703125" style="2" customWidth="1"/>
    <col min="4358" max="4359" width="19.28515625" style="2" customWidth="1"/>
    <col min="4360" max="4360" width="18.5703125" style="2" customWidth="1"/>
    <col min="4361" max="4361" width="0.7109375" style="2" customWidth="1"/>
    <col min="4362" max="4362" width="24" style="2" bestFit="1" customWidth="1"/>
    <col min="4363" max="4363" width="18.7109375" style="2" bestFit="1" customWidth="1"/>
    <col min="4364" max="4364" width="19.42578125" style="2" bestFit="1" customWidth="1"/>
    <col min="4365" max="4365" width="0.5703125" style="2" customWidth="1"/>
    <col min="4366" max="4367" width="18.7109375" style="2" bestFit="1" customWidth="1"/>
    <col min="4368" max="4368" width="16.5703125" style="2" customWidth="1"/>
    <col min="4369" max="4369" width="0.7109375" style="2" customWidth="1"/>
    <col min="4370" max="4371" width="19.85546875" style="2" bestFit="1" customWidth="1"/>
    <col min="4372" max="4372" width="18.7109375" style="2" bestFit="1" customWidth="1"/>
    <col min="4373" max="4373" width="14.5703125" style="2" customWidth="1"/>
    <col min="4374" max="4374" width="9.140625" style="2"/>
    <col min="4375" max="4375" width="13.140625" style="2" bestFit="1" customWidth="1"/>
    <col min="4376" max="4608" width="9.140625" style="2"/>
    <col min="4609" max="4612" width="2.7109375" style="2" customWidth="1"/>
    <col min="4613" max="4613" width="50.5703125" style="2" customWidth="1"/>
    <col min="4614" max="4615" width="19.28515625" style="2" customWidth="1"/>
    <col min="4616" max="4616" width="18.5703125" style="2" customWidth="1"/>
    <col min="4617" max="4617" width="0.7109375" style="2" customWidth="1"/>
    <col min="4618" max="4618" width="24" style="2" bestFit="1" customWidth="1"/>
    <col min="4619" max="4619" width="18.7109375" style="2" bestFit="1" customWidth="1"/>
    <col min="4620" max="4620" width="19.42578125" style="2" bestFit="1" customWidth="1"/>
    <col min="4621" max="4621" width="0.5703125" style="2" customWidth="1"/>
    <col min="4622" max="4623" width="18.7109375" style="2" bestFit="1" customWidth="1"/>
    <col min="4624" max="4624" width="16.5703125" style="2" customWidth="1"/>
    <col min="4625" max="4625" width="0.7109375" style="2" customWidth="1"/>
    <col min="4626" max="4627" width="19.85546875" style="2" bestFit="1" customWidth="1"/>
    <col min="4628" max="4628" width="18.7109375" style="2" bestFit="1" customWidth="1"/>
    <col min="4629" max="4629" width="14.5703125" style="2" customWidth="1"/>
    <col min="4630" max="4630" width="9.140625" style="2"/>
    <col min="4631" max="4631" width="13.140625" style="2" bestFit="1" customWidth="1"/>
    <col min="4632" max="4864" width="9.140625" style="2"/>
    <col min="4865" max="4868" width="2.7109375" style="2" customWidth="1"/>
    <col min="4869" max="4869" width="50.5703125" style="2" customWidth="1"/>
    <col min="4870" max="4871" width="19.28515625" style="2" customWidth="1"/>
    <col min="4872" max="4872" width="18.5703125" style="2" customWidth="1"/>
    <col min="4873" max="4873" width="0.7109375" style="2" customWidth="1"/>
    <col min="4874" max="4874" width="24" style="2" bestFit="1" customWidth="1"/>
    <col min="4875" max="4875" width="18.7109375" style="2" bestFit="1" customWidth="1"/>
    <col min="4876" max="4876" width="19.42578125" style="2" bestFit="1" customWidth="1"/>
    <col min="4877" max="4877" width="0.5703125" style="2" customWidth="1"/>
    <col min="4878" max="4879" width="18.7109375" style="2" bestFit="1" customWidth="1"/>
    <col min="4880" max="4880" width="16.5703125" style="2" customWidth="1"/>
    <col min="4881" max="4881" width="0.7109375" style="2" customWidth="1"/>
    <col min="4882" max="4883" width="19.85546875" style="2" bestFit="1" customWidth="1"/>
    <col min="4884" max="4884" width="18.7109375" style="2" bestFit="1" customWidth="1"/>
    <col min="4885" max="4885" width="14.5703125" style="2" customWidth="1"/>
    <col min="4886" max="4886" width="9.140625" style="2"/>
    <col min="4887" max="4887" width="13.140625" style="2" bestFit="1" customWidth="1"/>
    <col min="4888" max="5120" width="9.140625" style="2"/>
    <col min="5121" max="5124" width="2.7109375" style="2" customWidth="1"/>
    <col min="5125" max="5125" width="50.5703125" style="2" customWidth="1"/>
    <col min="5126" max="5127" width="19.28515625" style="2" customWidth="1"/>
    <col min="5128" max="5128" width="18.5703125" style="2" customWidth="1"/>
    <col min="5129" max="5129" width="0.7109375" style="2" customWidth="1"/>
    <col min="5130" max="5130" width="24" style="2" bestFit="1" customWidth="1"/>
    <col min="5131" max="5131" width="18.7109375" style="2" bestFit="1" customWidth="1"/>
    <col min="5132" max="5132" width="19.42578125" style="2" bestFit="1" customWidth="1"/>
    <col min="5133" max="5133" width="0.5703125" style="2" customWidth="1"/>
    <col min="5134" max="5135" width="18.7109375" style="2" bestFit="1" customWidth="1"/>
    <col min="5136" max="5136" width="16.5703125" style="2" customWidth="1"/>
    <col min="5137" max="5137" width="0.7109375" style="2" customWidth="1"/>
    <col min="5138" max="5139" width="19.85546875" style="2" bestFit="1" customWidth="1"/>
    <col min="5140" max="5140" width="18.7109375" style="2" bestFit="1" customWidth="1"/>
    <col min="5141" max="5141" width="14.5703125" style="2" customWidth="1"/>
    <col min="5142" max="5142" width="9.140625" style="2"/>
    <col min="5143" max="5143" width="13.140625" style="2" bestFit="1" customWidth="1"/>
    <col min="5144" max="5376" width="9.140625" style="2"/>
    <col min="5377" max="5380" width="2.7109375" style="2" customWidth="1"/>
    <col min="5381" max="5381" width="50.5703125" style="2" customWidth="1"/>
    <col min="5382" max="5383" width="19.28515625" style="2" customWidth="1"/>
    <col min="5384" max="5384" width="18.5703125" style="2" customWidth="1"/>
    <col min="5385" max="5385" width="0.7109375" style="2" customWidth="1"/>
    <col min="5386" max="5386" width="24" style="2" bestFit="1" customWidth="1"/>
    <col min="5387" max="5387" width="18.7109375" style="2" bestFit="1" customWidth="1"/>
    <col min="5388" max="5388" width="19.42578125" style="2" bestFit="1" customWidth="1"/>
    <col min="5389" max="5389" width="0.5703125" style="2" customWidth="1"/>
    <col min="5390" max="5391" width="18.7109375" style="2" bestFit="1" customWidth="1"/>
    <col min="5392" max="5392" width="16.5703125" style="2" customWidth="1"/>
    <col min="5393" max="5393" width="0.7109375" style="2" customWidth="1"/>
    <col min="5394" max="5395" width="19.85546875" style="2" bestFit="1" customWidth="1"/>
    <col min="5396" max="5396" width="18.7109375" style="2" bestFit="1" customWidth="1"/>
    <col min="5397" max="5397" width="14.5703125" style="2" customWidth="1"/>
    <col min="5398" max="5398" width="9.140625" style="2"/>
    <col min="5399" max="5399" width="13.140625" style="2" bestFit="1" customWidth="1"/>
    <col min="5400" max="5632" width="9.140625" style="2"/>
    <col min="5633" max="5636" width="2.7109375" style="2" customWidth="1"/>
    <col min="5637" max="5637" width="50.5703125" style="2" customWidth="1"/>
    <col min="5638" max="5639" width="19.28515625" style="2" customWidth="1"/>
    <col min="5640" max="5640" width="18.5703125" style="2" customWidth="1"/>
    <col min="5641" max="5641" width="0.7109375" style="2" customWidth="1"/>
    <col min="5642" max="5642" width="24" style="2" bestFit="1" customWidth="1"/>
    <col min="5643" max="5643" width="18.7109375" style="2" bestFit="1" customWidth="1"/>
    <col min="5644" max="5644" width="19.42578125" style="2" bestFit="1" customWidth="1"/>
    <col min="5645" max="5645" width="0.5703125" style="2" customWidth="1"/>
    <col min="5646" max="5647" width="18.7109375" style="2" bestFit="1" customWidth="1"/>
    <col min="5648" max="5648" width="16.5703125" style="2" customWidth="1"/>
    <col min="5649" max="5649" width="0.7109375" style="2" customWidth="1"/>
    <col min="5650" max="5651" width="19.85546875" style="2" bestFit="1" customWidth="1"/>
    <col min="5652" max="5652" width="18.7109375" style="2" bestFit="1" customWidth="1"/>
    <col min="5653" max="5653" width="14.5703125" style="2" customWidth="1"/>
    <col min="5654" max="5654" width="9.140625" style="2"/>
    <col min="5655" max="5655" width="13.140625" style="2" bestFit="1" customWidth="1"/>
    <col min="5656" max="5888" width="9.140625" style="2"/>
    <col min="5889" max="5892" width="2.7109375" style="2" customWidth="1"/>
    <col min="5893" max="5893" width="50.5703125" style="2" customWidth="1"/>
    <col min="5894" max="5895" width="19.28515625" style="2" customWidth="1"/>
    <col min="5896" max="5896" width="18.5703125" style="2" customWidth="1"/>
    <col min="5897" max="5897" width="0.7109375" style="2" customWidth="1"/>
    <col min="5898" max="5898" width="24" style="2" bestFit="1" customWidth="1"/>
    <col min="5899" max="5899" width="18.7109375" style="2" bestFit="1" customWidth="1"/>
    <col min="5900" max="5900" width="19.42578125" style="2" bestFit="1" customWidth="1"/>
    <col min="5901" max="5901" width="0.5703125" style="2" customWidth="1"/>
    <col min="5902" max="5903" width="18.7109375" style="2" bestFit="1" customWidth="1"/>
    <col min="5904" max="5904" width="16.5703125" style="2" customWidth="1"/>
    <col min="5905" max="5905" width="0.7109375" style="2" customWidth="1"/>
    <col min="5906" max="5907" width="19.85546875" style="2" bestFit="1" customWidth="1"/>
    <col min="5908" max="5908" width="18.7109375" style="2" bestFit="1" customWidth="1"/>
    <col min="5909" max="5909" width="14.5703125" style="2" customWidth="1"/>
    <col min="5910" max="5910" width="9.140625" style="2"/>
    <col min="5911" max="5911" width="13.140625" style="2" bestFit="1" customWidth="1"/>
    <col min="5912" max="6144" width="9.140625" style="2"/>
    <col min="6145" max="6148" width="2.7109375" style="2" customWidth="1"/>
    <col min="6149" max="6149" width="50.5703125" style="2" customWidth="1"/>
    <col min="6150" max="6151" width="19.28515625" style="2" customWidth="1"/>
    <col min="6152" max="6152" width="18.5703125" style="2" customWidth="1"/>
    <col min="6153" max="6153" width="0.7109375" style="2" customWidth="1"/>
    <col min="6154" max="6154" width="24" style="2" bestFit="1" customWidth="1"/>
    <col min="6155" max="6155" width="18.7109375" style="2" bestFit="1" customWidth="1"/>
    <col min="6156" max="6156" width="19.42578125" style="2" bestFit="1" customWidth="1"/>
    <col min="6157" max="6157" width="0.5703125" style="2" customWidth="1"/>
    <col min="6158" max="6159" width="18.7109375" style="2" bestFit="1" customWidth="1"/>
    <col min="6160" max="6160" width="16.5703125" style="2" customWidth="1"/>
    <col min="6161" max="6161" width="0.7109375" style="2" customWidth="1"/>
    <col min="6162" max="6163" width="19.85546875" style="2" bestFit="1" customWidth="1"/>
    <col min="6164" max="6164" width="18.7109375" style="2" bestFit="1" customWidth="1"/>
    <col min="6165" max="6165" width="14.5703125" style="2" customWidth="1"/>
    <col min="6166" max="6166" width="9.140625" style="2"/>
    <col min="6167" max="6167" width="13.140625" style="2" bestFit="1" customWidth="1"/>
    <col min="6168" max="6400" width="9.140625" style="2"/>
    <col min="6401" max="6404" width="2.7109375" style="2" customWidth="1"/>
    <col min="6405" max="6405" width="50.5703125" style="2" customWidth="1"/>
    <col min="6406" max="6407" width="19.28515625" style="2" customWidth="1"/>
    <col min="6408" max="6408" width="18.5703125" style="2" customWidth="1"/>
    <col min="6409" max="6409" width="0.7109375" style="2" customWidth="1"/>
    <col min="6410" max="6410" width="24" style="2" bestFit="1" customWidth="1"/>
    <col min="6411" max="6411" width="18.7109375" style="2" bestFit="1" customWidth="1"/>
    <col min="6412" max="6412" width="19.42578125" style="2" bestFit="1" customWidth="1"/>
    <col min="6413" max="6413" width="0.5703125" style="2" customWidth="1"/>
    <col min="6414" max="6415" width="18.7109375" style="2" bestFit="1" customWidth="1"/>
    <col min="6416" max="6416" width="16.5703125" style="2" customWidth="1"/>
    <col min="6417" max="6417" width="0.7109375" style="2" customWidth="1"/>
    <col min="6418" max="6419" width="19.85546875" style="2" bestFit="1" customWidth="1"/>
    <col min="6420" max="6420" width="18.7109375" style="2" bestFit="1" customWidth="1"/>
    <col min="6421" max="6421" width="14.5703125" style="2" customWidth="1"/>
    <col min="6422" max="6422" width="9.140625" style="2"/>
    <col min="6423" max="6423" width="13.140625" style="2" bestFit="1" customWidth="1"/>
    <col min="6424" max="6656" width="9.140625" style="2"/>
    <col min="6657" max="6660" width="2.7109375" style="2" customWidth="1"/>
    <col min="6661" max="6661" width="50.5703125" style="2" customWidth="1"/>
    <col min="6662" max="6663" width="19.28515625" style="2" customWidth="1"/>
    <col min="6664" max="6664" width="18.5703125" style="2" customWidth="1"/>
    <col min="6665" max="6665" width="0.7109375" style="2" customWidth="1"/>
    <col min="6666" max="6666" width="24" style="2" bestFit="1" customWidth="1"/>
    <col min="6667" max="6667" width="18.7109375" style="2" bestFit="1" customWidth="1"/>
    <col min="6668" max="6668" width="19.42578125" style="2" bestFit="1" customWidth="1"/>
    <col min="6669" max="6669" width="0.5703125" style="2" customWidth="1"/>
    <col min="6670" max="6671" width="18.7109375" style="2" bestFit="1" customWidth="1"/>
    <col min="6672" max="6672" width="16.5703125" style="2" customWidth="1"/>
    <col min="6673" max="6673" width="0.7109375" style="2" customWidth="1"/>
    <col min="6674" max="6675" width="19.85546875" style="2" bestFit="1" customWidth="1"/>
    <col min="6676" max="6676" width="18.7109375" style="2" bestFit="1" customWidth="1"/>
    <col min="6677" max="6677" width="14.5703125" style="2" customWidth="1"/>
    <col min="6678" max="6678" width="9.140625" style="2"/>
    <col min="6679" max="6679" width="13.140625" style="2" bestFit="1" customWidth="1"/>
    <col min="6680" max="6912" width="9.140625" style="2"/>
    <col min="6913" max="6916" width="2.7109375" style="2" customWidth="1"/>
    <col min="6917" max="6917" width="50.5703125" style="2" customWidth="1"/>
    <col min="6918" max="6919" width="19.28515625" style="2" customWidth="1"/>
    <col min="6920" max="6920" width="18.5703125" style="2" customWidth="1"/>
    <col min="6921" max="6921" width="0.7109375" style="2" customWidth="1"/>
    <col min="6922" max="6922" width="24" style="2" bestFit="1" customWidth="1"/>
    <col min="6923" max="6923" width="18.7109375" style="2" bestFit="1" customWidth="1"/>
    <col min="6924" max="6924" width="19.42578125" style="2" bestFit="1" customWidth="1"/>
    <col min="6925" max="6925" width="0.5703125" style="2" customWidth="1"/>
    <col min="6926" max="6927" width="18.7109375" style="2" bestFit="1" customWidth="1"/>
    <col min="6928" max="6928" width="16.5703125" style="2" customWidth="1"/>
    <col min="6929" max="6929" width="0.7109375" style="2" customWidth="1"/>
    <col min="6930" max="6931" width="19.85546875" style="2" bestFit="1" customWidth="1"/>
    <col min="6932" max="6932" width="18.7109375" style="2" bestFit="1" customWidth="1"/>
    <col min="6933" max="6933" width="14.5703125" style="2" customWidth="1"/>
    <col min="6934" max="6934" width="9.140625" style="2"/>
    <col min="6935" max="6935" width="13.140625" style="2" bestFit="1" customWidth="1"/>
    <col min="6936" max="7168" width="9.140625" style="2"/>
    <col min="7169" max="7172" width="2.7109375" style="2" customWidth="1"/>
    <col min="7173" max="7173" width="50.5703125" style="2" customWidth="1"/>
    <col min="7174" max="7175" width="19.28515625" style="2" customWidth="1"/>
    <col min="7176" max="7176" width="18.5703125" style="2" customWidth="1"/>
    <col min="7177" max="7177" width="0.7109375" style="2" customWidth="1"/>
    <col min="7178" max="7178" width="24" style="2" bestFit="1" customWidth="1"/>
    <col min="7179" max="7179" width="18.7109375" style="2" bestFit="1" customWidth="1"/>
    <col min="7180" max="7180" width="19.42578125" style="2" bestFit="1" customWidth="1"/>
    <col min="7181" max="7181" width="0.5703125" style="2" customWidth="1"/>
    <col min="7182" max="7183" width="18.7109375" style="2" bestFit="1" customWidth="1"/>
    <col min="7184" max="7184" width="16.5703125" style="2" customWidth="1"/>
    <col min="7185" max="7185" width="0.7109375" style="2" customWidth="1"/>
    <col min="7186" max="7187" width="19.85546875" style="2" bestFit="1" customWidth="1"/>
    <col min="7188" max="7188" width="18.7109375" style="2" bestFit="1" customWidth="1"/>
    <col min="7189" max="7189" width="14.5703125" style="2" customWidth="1"/>
    <col min="7190" max="7190" width="9.140625" style="2"/>
    <col min="7191" max="7191" width="13.140625" style="2" bestFit="1" customWidth="1"/>
    <col min="7192" max="7424" width="9.140625" style="2"/>
    <col min="7425" max="7428" width="2.7109375" style="2" customWidth="1"/>
    <col min="7429" max="7429" width="50.5703125" style="2" customWidth="1"/>
    <col min="7430" max="7431" width="19.28515625" style="2" customWidth="1"/>
    <col min="7432" max="7432" width="18.5703125" style="2" customWidth="1"/>
    <col min="7433" max="7433" width="0.7109375" style="2" customWidth="1"/>
    <col min="7434" max="7434" width="24" style="2" bestFit="1" customWidth="1"/>
    <col min="7435" max="7435" width="18.7109375" style="2" bestFit="1" customWidth="1"/>
    <col min="7436" max="7436" width="19.42578125" style="2" bestFit="1" customWidth="1"/>
    <col min="7437" max="7437" width="0.5703125" style="2" customWidth="1"/>
    <col min="7438" max="7439" width="18.7109375" style="2" bestFit="1" customWidth="1"/>
    <col min="7440" max="7440" width="16.5703125" style="2" customWidth="1"/>
    <col min="7441" max="7441" width="0.7109375" style="2" customWidth="1"/>
    <col min="7442" max="7443" width="19.85546875" style="2" bestFit="1" customWidth="1"/>
    <col min="7444" max="7444" width="18.7109375" style="2" bestFit="1" customWidth="1"/>
    <col min="7445" max="7445" width="14.5703125" style="2" customWidth="1"/>
    <col min="7446" max="7446" width="9.140625" style="2"/>
    <col min="7447" max="7447" width="13.140625" style="2" bestFit="1" customWidth="1"/>
    <col min="7448" max="7680" width="9.140625" style="2"/>
    <col min="7681" max="7684" width="2.7109375" style="2" customWidth="1"/>
    <col min="7685" max="7685" width="50.5703125" style="2" customWidth="1"/>
    <col min="7686" max="7687" width="19.28515625" style="2" customWidth="1"/>
    <col min="7688" max="7688" width="18.5703125" style="2" customWidth="1"/>
    <col min="7689" max="7689" width="0.7109375" style="2" customWidth="1"/>
    <col min="7690" max="7690" width="24" style="2" bestFit="1" customWidth="1"/>
    <col min="7691" max="7691" width="18.7109375" style="2" bestFit="1" customWidth="1"/>
    <col min="7692" max="7692" width="19.42578125" style="2" bestFit="1" customWidth="1"/>
    <col min="7693" max="7693" width="0.5703125" style="2" customWidth="1"/>
    <col min="7694" max="7695" width="18.7109375" style="2" bestFit="1" customWidth="1"/>
    <col min="7696" max="7696" width="16.5703125" style="2" customWidth="1"/>
    <col min="7697" max="7697" width="0.7109375" style="2" customWidth="1"/>
    <col min="7698" max="7699" width="19.85546875" style="2" bestFit="1" customWidth="1"/>
    <col min="7700" max="7700" width="18.7109375" style="2" bestFit="1" customWidth="1"/>
    <col min="7701" max="7701" width="14.5703125" style="2" customWidth="1"/>
    <col min="7702" max="7702" width="9.140625" style="2"/>
    <col min="7703" max="7703" width="13.140625" style="2" bestFit="1" customWidth="1"/>
    <col min="7704" max="7936" width="9.140625" style="2"/>
    <col min="7937" max="7940" width="2.7109375" style="2" customWidth="1"/>
    <col min="7941" max="7941" width="50.5703125" style="2" customWidth="1"/>
    <col min="7942" max="7943" width="19.28515625" style="2" customWidth="1"/>
    <col min="7944" max="7944" width="18.5703125" style="2" customWidth="1"/>
    <col min="7945" max="7945" width="0.7109375" style="2" customWidth="1"/>
    <col min="7946" max="7946" width="24" style="2" bestFit="1" customWidth="1"/>
    <col min="7947" max="7947" width="18.7109375" style="2" bestFit="1" customWidth="1"/>
    <col min="7948" max="7948" width="19.42578125" style="2" bestFit="1" customWidth="1"/>
    <col min="7949" max="7949" width="0.5703125" style="2" customWidth="1"/>
    <col min="7950" max="7951" width="18.7109375" style="2" bestFit="1" customWidth="1"/>
    <col min="7952" max="7952" width="16.5703125" style="2" customWidth="1"/>
    <col min="7953" max="7953" width="0.7109375" style="2" customWidth="1"/>
    <col min="7954" max="7955" width="19.85546875" style="2" bestFit="1" customWidth="1"/>
    <col min="7956" max="7956" width="18.7109375" style="2" bestFit="1" customWidth="1"/>
    <col min="7957" max="7957" width="14.5703125" style="2" customWidth="1"/>
    <col min="7958" max="7958" width="9.140625" style="2"/>
    <col min="7959" max="7959" width="13.140625" style="2" bestFit="1" customWidth="1"/>
    <col min="7960" max="8192" width="9.140625" style="2"/>
    <col min="8193" max="8196" width="2.7109375" style="2" customWidth="1"/>
    <col min="8197" max="8197" width="50.5703125" style="2" customWidth="1"/>
    <col min="8198" max="8199" width="19.28515625" style="2" customWidth="1"/>
    <col min="8200" max="8200" width="18.5703125" style="2" customWidth="1"/>
    <col min="8201" max="8201" width="0.7109375" style="2" customWidth="1"/>
    <col min="8202" max="8202" width="24" style="2" bestFit="1" customWidth="1"/>
    <col min="8203" max="8203" width="18.7109375" style="2" bestFit="1" customWidth="1"/>
    <col min="8204" max="8204" width="19.42578125" style="2" bestFit="1" customWidth="1"/>
    <col min="8205" max="8205" width="0.5703125" style="2" customWidth="1"/>
    <col min="8206" max="8207" width="18.7109375" style="2" bestFit="1" customWidth="1"/>
    <col min="8208" max="8208" width="16.5703125" style="2" customWidth="1"/>
    <col min="8209" max="8209" width="0.7109375" style="2" customWidth="1"/>
    <col min="8210" max="8211" width="19.85546875" style="2" bestFit="1" customWidth="1"/>
    <col min="8212" max="8212" width="18.7109375" style="2" bestFit="1" customWidth="1"/>
    <col min="8213" max="8213" width="14.5703125" style="2" customWidth="1"/>
    <col min="8214" max="8214" width="9.140625" style="2"/>
    <col min="8215" max="8215" width="13.140625" style="2" bestFit="1" customWidth="1"/>
    <col min="8216" max="8448" width="9.140625" style="2"/>
    <col min="8449" max="8452" width="2.7109375" style="2" customWidth="1"/>
    <col min="8453" max="8453" width="50.5703125" style="2" customWidth="1"/>
    <col min="8454" max="8455" width="19.28515625" style="2" customWidth="1"/>
    <col min="8456" max="8456" width="18.5703125" style="2" customWidth="1"/>
    <col min="8457" max="8457" width="0.7109375" style="2" customWidth="1"/>
    <col min="8458" max="8458" width="24" style="2" bestFit="1" customWidth="1"/>
    <col min="8459" max="8459" width="18.7109375" style="2" bestFit="1" customWidth="1"/>
    <col min="8460" max="8460" width="19.42578125" style="2" bestFit="1" customWidth="1"/>
    <col min="8461" max="8461" width="0.5703125" style="2" customWidth="1"/>
    <col min="8462" max="8463" width="18.7109375" style="2" bestFit="1" customWidth="1"/>
    <col min="8464" max="8464" width="16.5703125" style="2" customWidth="1"/>
    <col min="8465" max="8465" width="0.7109375" style="2" customWidth="1"/>
    <col min="8466" max="8467" width="19.85546875" style="2" bestFit="1" customWidth="1"/>
    <col min="8468" max="8468" width="18.7109375" style="2" bestFit="1" customWidth="1"/>
    <col min="8469" max="8469" width="14.5703125" style="2" customWidth="1"/>
    <col min="8470" max="8470" width="9.140625" style="2"/>
    <col min="8471" max="8471" width="13.140625" style="2" bestFit="1" customWidth="1"/>
    <col min="8472" max="8704" width="9.140625" style="2"/>
    <col min="8705" max="8708" width="2.7109375" style="2" customWidth="1"/>
    <col min="8709" max="8709" width="50.5703125" style="2" customWidth="1"/>
    <col min="8710" max="8711" width="19.28515625" style="2" customWidth="1"/>
    <col min="8712" max="8712" width="18.5703125" style="2" customWidth="1"/>
    <col min="8713" max="8713" width="0.7109375" style="2" customWidth="1"/>
    <col min="8714" max="8714" width="24" style="2" bestFit="1" customWidth="1"/>
    <col min="8715" max="8715" width="18.7109375" style="2" bestFit="1" customWidth="1"/>
    <col min="8716" max="8716" width="19.42578125" style="2" bestFit="1" customWidth="1"/>
    <col min="8717" max="8717" width="0.5703125" style="2" customWidth="1"/>
    <col min="8718" max="8719" width="18.7109375" style="2" bestFit="1" customWidth="1"/>
    <col min="8720" max="8720" width="16.5703125" style="2" customWidth="1"/>
    <col min="8721" max="8721" width="0.7109375" style="2" customWidth="1"/>
    <col min="8722" max="8723" width="19.85546875" style="2" bestFit="1" customWidth="1"/>
    <col min="8724" max="8724" width="18.7109375" style="2" bestFit="1" customWidth="1"/>
    <col min="8725" max="8725" width="14.5703125" style="2" customWidth="1"/>
    <col min="8726" max="8726" width="9.140625" style="2"/>
    <col min="8727" max="8727" width="13.140625" style="2" bestFit="1" customWidth="1"/>
    <col min="8728" max="8960" width="9.140625" style="2"/>
    <col min="8961" max="8964" width="2.7109375" style="2" customWidth="1"/>
    <col min="8965" max="8965" width="50.5703125" style="2" customWidth="1"/>
    <col min="8966" max="8967" width="19.28515625" style="2" customWidth="1"/>
    <col min="8968" max="8968" width="18.5703125" style="2" customWidth="1"/>
    <col min="8969" max="8969" width="0.7109375" style="2" customWidth="1"/>
    <col min="8970" max="8970" width="24" style="2" bestFit="1" customWidth="1"/>
    <col min="8971" max="8971" width="18.7109375" style="2" bestFit="1" customWidth="1"/>
    <col min="8972" max="8972" width="19.42578125" style="2" bestFit="1" customWidth="1"/>
    <col min="8973" max="8973" width="0.5703125" style="2" customWidth="1"/>
    <col min="8974" max="8975" width="18.7109375" style="2" bestFit="1" customWidth="1"/>
    <col min="8976" max="8976" width="16.5703125" style="2" customWidth="1"/>
    <col min="8977" max="8977" width="0.7109375" style="2" customWidth="1"/>
    <col min="8978" max="8979" width="19.85546875" style="2" bestFit="1" customWidth="1"/>
    <col min="8980" max="8980" width="18.7109375" style="2" bestFit="1" customWidth="1"/>
    <col min="8981" max="8981" width="14.5703125" style="2" customWidth="1"/>
    <col min="8982" max="8982" width="9.140625" style="2"/>
    <col min="8983" max="8983" width="13.140625" style="2" bestFit="1" customWidth="1"/>
    <col min="8984" max="9216" width="9.140625" style="2"/>
    <col min="9217" max="9220" width="2.7109375" style="2" customWidth="1"/>
    <col min="9221" max="9221" width="50.5703125" style="2" customWidth="1"/>
    <col min="9222" max="9223" width="19.28515625" style="2" customWidth="1"/>
    <col min="9224" max="9224" width="18.5703125" style="2" customWidth="1"/>
    <col min="9225" max="9225" width="0.7109375" style="2" customWidth="1"/>
    <col min="9226" max="9226" width="24" style="2" bestFit="1" customWidth="1"/>
    <col min="9227" max="9227" width="18.7109375" style="2" bestFit="1" customWidth="1"/>
    <col min="9228" max="9228" width="19.42578125" style="2" bestFit="1" customWidth="1"/>
    <col min="9229" max="9229" width="0.5703125" style="2" customWidth="1"/>
    <col min="9230" max="9231" width="18.7109375" style="2" bestFit="1" customWidth="1"/>
    <col min="9232" max="9232" width="16.5703125" style="2" customWidth="1"/>
    <col min="9233" max="9233" width="0.7109375" style="2" customWidth="1"/>
    <col min="9234" max="9235" width="19.85546875" style="2" bestFit="1" customWidth="1"/>
    <col min="9236" max="9236" width="18.7109375" style="2" bestFit="1" customWidth="1"/>
    <col min="9237" max="9237" width="14.5703125" style="2" customWidth="1"/>
    <col min="9238" max="9238" width="9.140625" style="2"/>
    <col min="9239" max="9239" width="13.140625" style="2" bestFit="1" customWidth="1"/>
    <col min="9240" max="9472" width="9.140625" style="2"/>
    <col min="9473" max="9476" width="2.7109375" style="2" customWidth="1"/>
    <col min="9477" max="9477" width="50.5703125" style="2" customWidth="1"/>
    <col min="9478" max="9479" width="19.28515625" style="2" customWidth="1"/>
    <col min="9480" max="9480" width="18.5703125" style="2" customWidth="1"/>
    <col min="9481" max="9481" width="0.7109375" style="2" customWidth="1"/>
    <col min="9482" max="9482" width="24" style="2" bestFit="1" customWidth="1"/>
    <col min="9483" max="9483" width="18.7109375" style="2" bestFit="1" customWidth="1"/>
    <col min="9484" max="9484" width="19.42578125" style="2" bestFit="1" customWidth="1"/>
    <col min="9485" max="9485" width="0.5703125" style="2" customWidth="1"/>
    <col min="9486" max="9487" width="18.7109375" style="2" bestFit="1" customWidth="1"/>
    <col min="9488" max="9488" width="16.5703125" style="2" customWidth="1"/>
    <col min="9489" max="9489" width="0.7109375" style="2" customWidth="1"/>
    <col min="9490" max="9491" width="19.85546875" style="2" bestFit="1" customWidth="1"/>
    <col min="9492" max="9492" width="18.7109375" style="2" bestFit="1" customWidth="1"/>
    <col min="9493" max="9493" width="14.5703125" style="2" customWidth="1"/>
    <col min="9494" max="9494" width="9.140625" style="2"/>
    <col min="9495" max="9495" width="13.140625" style="2" bestFit="1" customWidth="1"/>
    <col min="9496" max="9728" width="9.140625" style="2"/>
    <col min="9729" max="9732" width="2.7109375" style="2" customWidth="1"/>
    <col min="9733" max="9733" width="50.5703125" style="2" customWidth="1"/>
    <col min="9734" max="9735" width="19.28515625" style="2" customWidth="1"/>
    <col min="9736" max="9736" width="18.5703125" style="2" customWidth="1"/>
    <col min="9737" max="9737" width="0.7109375" style="2" customWidth="1"/>
    <col min="9738" max="9738" width="24" style="2" bestFit="1" customWidth="1"/>
    <col min="9739" max="9739" width="18.7109375" style="2" bestFit="1" customWidth="1"/>
    <col min="9740" max="9740" width="19.42578125" style="2" bestFit="1" customWidth="1"/>
    <col min="9741" max="9741" width="0.5703125" style="2" customWidth="1"/>
    <col min="9742" max="9743" width="18.7109375" style="2" bestFit="1" customWidth="1"/>
    <col min="9744" max="9744" width="16.5703125" style="2" customWidth="1"/>
    <col min="9745" max="9745" width="0.7109375" style="2" customWidth="1"/>
    <col min="9746" max="9747" width="19.85546875" style="2" bestFit="1" customWidth="1"/>
    <col min="9748" max="9748" width="18.7109375" style="2" bestFit="1" customWidth="1"/>
    <col min="9749" max="9749" width="14.5703125" style="2" customWidth="1"/>
    <col min="9750" max="9750" width="9.140625" style="2"/>
    <col min="9751" max="9751" width="13.140625" style="2" bestFit="1" customWidth="1"/>
    <col min="9752" max="9984" width="9.140625" style="2"/>
    <col min="9985" max="9988" width="2.7109375" style="2" customWidth="1"/>
    <col min="9989" max="9989" width="50.5703125" style="2" customWidth="1"/>
    <col min="9990" max="9991" width="19.28515625" style="2" customWidth="1"/>
    <col min="9992" max="9992" width="18.5703125" style="2" customWidth="1"/>
    <col min="9993" max="9993" width="0.7109375" style="2" customWidth="1"/>
    <col min="9994" max="9994" width="24" style="2" bestFit="1" customWidth="1"/>
    <col min="9995" max="9995" width="18.7109375" style="2" bestFit="1" customWidth="1"/>
    <col min="9996" max="9996" width="19.42578125" style="2" bestFit="1" customWidth="1"/>
    <col min="9997" max="9997" width="0.5703125" style="2" customWidth="1"/>
    <col min="9998" max="9999" width="18.7109375" style="2" bestFit="1" customWidth="1"/>
    <col min="10000" max="10000" width="16.5703125" style="2" customWidth="1"/>
    <col min="10001" max="10001" width="0.7109375" style="2" customWidth="1"/>
    <col min="10002" max="10003" width="19.85546875" style="2" bestFit="1" customWidth="1"/>
    <col min="10004" max="10004" width="18.7109375" style="2" bestFit="1" customWidth="1"/>
    <col min="10005" max="10005" width="14.5703125" style="2" customWidth="1"/>
    <col min="10006" max="10006" width="9.140625" style="2"/>
    <col min="10007" max="10007" width="13.140625" style="2" bestFit="1" customWidth="1"/>
    <col min="10008" max="10240" width="9.140625" style="2"/>
    <col min="10241" max="10244" width="2.7109375" style="2" customWidth="1"/>
    <col min="10245" max="10245" width="50.5703125" style="2" customWidth="1"/>
    <col min="10246" max="10247" width="19.28515625" style="2" customWidth="1"/>
    <col min="10248" max="10248" width="18.5703125" style="2" customWidth="1"/>
    <col min="10249" max="10249" width="0.7109375" style="2" customWidth="1"/>
    <col min="10250" max="10250" width="24" style="2" bestFit="1" customWidth="1"/>
    <col min="10251" max="10251" width="18.7109375" style="2" bestFit="1" customWidth="1"/>
    <col min="10252" max="10252" width="19.42578125" style="2" bestFit="1" customWidth="1"/>
    <col min="10253" max="10253" width="0.5703125" style="2" customWidth="1"/>
    <col min="10254" max="10255" width="18.7109375" style="2" bestFit="1" customWidth="1"/>
    <col min="10256" max="10256" width="16.5703125" style="2" customWidth="1"/>
    <col min="10257" max="10257" width="0.7109375" style="2" customWidth="1"/>
    <col min="10258" max="10259" width="19.85546875" style="2" bestFit="1" customWidth="1"/>
    <col min="10260" max="10260" width="18.7109375" style="2" bestFit="1" customWidth="1"/>
    <col min="10261" max="10261" width="14.5703125" style="2" customWidth="1"/>
    <col min="10262" max="10262" width="9.140625" style="2"/>
    <col min="10263" max="10263" width="13.140625" style="2" bestFit="1" customWidth="1"/>
    <col min="10264" max="10496" width="9.140625" style="2"/>
    <col min="10497" max="10500" width="2.7109375" style="2" customWidth="1"/>
    <col min="10501" max="10501" width="50.5703125" style="2" customWidth="1"/>
    <col min="10502" max="10503" width="19.28515625" style="2" customWidth="1"/>
    <col min="10504" max="10504" width="18.5703125" style="2" customWidth="1"/>
    <col min="10505" max="10505" width="0.7109375" style="2" customWidth="1"/>
    <col min="10506" max="10506" width="24" style="2" bestFit="1" customWidth="1"/>
    <col min="10507" max="10507" width="18.7109375" style="2" bestFit="1" customWidth="1"/>
    <col min="10508" max="10508" width="19.42578125" style="2" bestFit="1" customWidth="1"/>
    <col min="10509" max="10509" width="0.5703125" style="2" customWidth="1"/>
    <col min="10510" max="10511" width="18.7109375" style="2" bestFit="1" customWidth="1"/>
    <col min="10512" max="10512" width="16.5703125" style="2" customWidth="1"/>
    <col min="10513" max="10513" width="0.7109375" style="2" customWidth="1"/>
    <col min="10514" max="10515" width="19.85546875" style="2" bestFit="1" customWidth="1"/>
    <col min="10516" max="10516" width="18.7109375" style="2" bestFit="1" customWidth="1"/>
    <col min="10517" max="10517" width="14.5703125" style="2" customWidth="1"/>
    <col min="10518" max="10518" width="9.140625" style="2"/>
    <col min="10519" max="10519" width="13.140625" style="2" bestFit="1" customWidth="1"/>
    <col min="10520" max="10752" width="9.140625" style="2"/>
    <col min="10753" max="10756" width="2.7109375" style="2" customWidth="1"/>
    <col min="10757" max="10757" width="50.5703125" style="2" customWidth="1"/>
    <col min="10758" max="10759" width="19.28515625" style="2" customWidth="1"/>
    <col min="10760" max="10760" width="18.5703125" style="2" customWidth="1"/>
    <col min="10761" max="10761" width="0.7109375" style="2" customWidth="1"/>
    <col min="10762" max="10762" width="24" style="2" bestFit="1" customWidth="1"/>
    <col min="10763" max="10763" width="18.7109375" style="2" bestFit="1" customWidth="1"/>
    <col min="10764" max="10764" width="19.42578125" style="2" bestFit="1" customWidth="1"/>
    <col min="10765" max="10765" width="0.5703125" style="2" customWidth="1"/>
    <col min="10766" max="10767" width="18.7109375" style="2" bestFit="1" customWidth="1"/>
    <col min="10768" max="10768" width="16.5703125" style="2" customWidth="1"/>
    <col min="10769" max="10769" width="0.7109375" style="2" customWidth="1"/>
    <col min="10770" max="10771" width="19.85546875" style="2" bestFit="1" customWidth="1"/>
    <col min="10772" max="10772" width="18.7109375" style="2" bestFit="1" customWidth="1"/>
    <col min="10773" max="10773" width="14.5703125" style="2" customWidth="1"/>
    <col min="10774" max="10774" width="9.140625" style="2"/>
    <col min="10775" max="10775" width="13.140625" style="2" bestFit="1" customWidth="1"/>
    <col min="10776" max="11008" width="9.140625" style="2"/>
    <col min="11009" max="11012" width="2.7109375" style="2" customWidth="1"/>
    <col min="11013" max="11013" width="50.5703125" style="2" customWidth="1"/>
    <col min="11014" max="11015" width="19.28515625" style="2" customWidth="1"/>
    <col min="11016" max="11016" width="18.5703125" style="2" customWidth="1"/>
    <col min="11017" max="11017" width="0.7109375" style="2" customWidth="1"/>
    <col min="11018" max="11018" width="24" style="2" bestFit="1" customWidth="1"/>
    <col min="11019" max="11019" width="18.7109375" style="2" bestFit="1" customWidth="1"/>
    <col min="11020" max="11020" width="19.42578125" style="2" bestFit="1" customWidth="1"/>
    <col min="11021" max="11021" width="0.5703125" style="2" customWidth="1"/>
    <col min="11022" max="11023" width="18.7109375" style="2" bestFit="1" customWidth="1"/>
    <col min="11024" max="11024" width="16.5703125" style="2" customWidth="1"/>
    <col min="11025" max="11025" width="0.7109375" style="2" customWidth="1"/>
    <col min="11026" max="11027" width="19.85546875" style="2" bestFit="1" customWidth="1"/>
    <col min="11028" max="11028" width="18.7109375" style="2" bestFit="1" customWidth="1"/>
    <col min="11029" max="11029" width="14.5703125" style="2" customWidth="1"/>
    <col min="11030" max="11030" width="9.140625" style="2"/>
    <col min="11031" max="11031" width="13.140625" style="2" bestFit="1" customWidth="1"/>
    <col min="11032" max="11264" width="9.140625" style="2"/>
    <col min="11265" max="11268" width="2.7109375" style="2" customWidth="1"/>
    <col min="11269" max="11269" width="50.5703125" style="2" customWidth="1"/>
    <col min="11270" max="11271" width="19.28515625" style="2" customWidth="1"/>
    <col min="11272" max="11272" width="18.5703125" style="2" customWidth="1"/>
    <col min="11273" max="11273" width="0.7109375" style="2" customWidth="1"/>
    <col min="11274" max="11274" width="24" style="2" bestFit="1" customWidth="1"/>
    <col min="11275" max="11275" width="18.7109375" style="2" bestFit="1" customWidth="1"/>
    <col min="11276" max="11276" width="19.42578125" style="2" bestFit="1" customWidth="1"/>
    <col min="11277" max="11277" width="0.5703125" style="2" customWidth="1"/>
    <col min="11278" max="11279" width="18.7109375" style="2" bestFit="1" customWidth="1"/>
    <col min="11280" max="11280" width="16.5703125" style="2" customWidth="1"/>
    <col min="11281" max="11281" width="0.7109375" style="2" customWidth="1"/>
    <col min="11282" max="11283" width="19.85546875" style="2" bestFit="1" customWidth="1"/>
    <col min="11284" max="11284" width="18.7109375" style="2" bestFit="1" customWidth="1"/>
    <col min="11285" max="11285" width="14.5703125" style="2" customWidth="1"/>
    <col min="11286" max="11286" width="9.140625" style="2"/>
    <col min="11287" max="11287" width="13.140625" style="2" bestFit="1" customWidth="1"/>
    <col min="11288" max="11520" width="9.140625" style="2"/>
    <col min="11521" max="11524" width="2.7109375" style="2" customWidth="1"/>
    <col min="11525" max="11525" width="50.5703125" style="2" customWidth="1"/>
    <col min="11526" max="11527" width="19.28515625" style="2" customWidth="1"/>
    <col min="11528" max="11528" width="18.5703125" style="2" customWidth="1"/>
    <col min="11529" max="11529" width="0.7109375" style="2" customWidth="1"/>
    <col min="11530" max="11530" width="24" style="2" bestFit="1" customWidth="1"/>
    <col min="11531" max="11531" width="18.7109375" style="2" bestFit="1" customWidth="1"/>
    <col min="11532" max="11532" width="19.42578125" style="2" bestFit="1" customWidth="1"/>
    <col min="11533" max="11533" width="0.5703125" style="2" customWidth="1"/>
    <col min="11534" max="11535" width="18.7109375" style="2" bestFit="1" customWidth="1"/>
    <col min="11536" max="11536" width="16.5703125" style="2" customWidth="1"/>
    <col min="11537" max="11537" width="0.7109375" style="2" customWidth="1"/>
    <col min="11538" max="11539" width="19.85546875" style="2" bestFit="1" customWidth="1"/>
    <col min="11540" max="11540" width="18.7109375" style="2" bestFit="1" customWidth="1"/>
    <col min="11541" max="11541" width="14.5703125" style="2" customWidth="1"/>
    <col min="11542" max="11542" width="9.140625" style="2"/>
    <col min="11543" max="11543" width="13.140625" style="2" bestFit="1" customWidth="1"/>
    <col min="11544" max="11776" width="9.140625" style="2"/>
    <col min="11777" max="11780" width="2.7109375" style="2" customWidth="1"/>
    <col min="11781" max="11781" width="50.5703125" style="2" customWidth="1"/>
    <col min="11782" max="11783" width="19.28515625" style="2" customWidth="1"/>
    <col min="11784" max="11784" width="18.5703125" style="2" customWidth="1"/>
    <col min="11785" max="11785" width="0.7109375" style="2" customWidth="1"/>
    <col min="11786" max="11786" width="24" style="2" bestFit="1" customWidth="1"/>
    <col min="11787" max="11787" width="18.7109375" style="2" bestFit="1" customWidth="1"/>
    <col min="11788" max="11788" width="19.42578125" style="2" bestFit="1" customWidth="1"/>
    <col min="11789" max="11789" width="0.5703125" style="2" customWidth="1"/>
    <col min="11790" max="11791" width="18.7109375" style="2" bestFit="1" customWidth="1"/>
    <col min="11792" max="11792" width="16.5703125" style="2" customWidth="1"/>
    <col min="11793" max="11793" width="0.7109375" style="2" customWidth="1"/>
    <col min="11794" max="11795" width="19.85546875" style="2" bestFit="1" customWidth="1"/>
    <col min="11796" max="11796" width="18.7109375" style="2" bestFit="1" customWidth="1"/>
    <col min="11797" max="11797" width="14.5703125" style="2" customWidth="1"/>
    <col min="11798" max="11798" width="9.140625" style="2"/>
    <col min="11799" max="11799" width="13.140625" style="2" bestFit="1" customWidth="1"/>
    <col min="11800" max="12032" width="9.140625" style="2"/>
    <col min="12033" max="12036" width="2.7109375" style="2" customWidth="1"/>
    <col min="12037" max="12037" width="50.5703125" style="2" customWidth="1"/>
    <col min="12038" max="12039" width="19.28515625" style="2" customWidth="1"/>
    <col min="12040" max="12040" width="18.5703125" style="2" customWidth="1"/>
    <col min="12041" max="12041" width="0.7109375" style="2" customWidth="1"/>
    <col min="12042" max="12042" width="24" style="2" bestFit="1" customWidth="1"/>
    <col min="12043" max="12043" width="18.7109375" style="2" bestFit="1" customWidth="1"/>
    <col min="12044" max="12044" width="19.42578125" style="2" bestFit="1" customWidth="1"/>
    <col min="12045" max="12045" width="0.5703125" style="2" customWidth="1"/>
    <col min="12046" max="12047" width="18.7109375" style="2" bestFit="1" customWidth="1"/>
    <col min="12048" max="12048" width="16.5703125" style="2" customWidth="1"/>
    <col min="12049" max="12049" width="0.7109375" style="2" customWidth="1"/>
    <col min="12050" max="12051" width="19.85546875" style="2" bestFit="1" customWidth="1"/>
    <col min="12052" max="12052" width="18.7109375" style="2" bestFit="1" customWidth="1"/>
    <col min="12053" max="12053" width="14.5703125" style="2" customWidth="1"/>
    <col min="12054" max="12054" width="9.140625" style="2"/>
    <col min="12055" max="12055" width="13.140625" style="2" bestFit="1" customWidth="1"/>
    <col min="12056" max="12288" width="9.140625" style="2"/>
    <col min="12289" max="12292" width="2.7109375" style="2" customWidth="1"/>
    <col min="12293" max="12293" width="50.5703125" style="2" customWidth="1"/>
    <col min="12294" max="12295" width="19.28515625" style="2" customWidth="1"/>
    <col min="12296" max="12296" width="18.5703125" style="2" customWidth="1"/>
    <col min="12297" max="12297" width="0.7109375" style="2" customWidth="1"/>
    <col min="12298" max="12298" width="24" style="2" bestFit="1" customWidth="1"/>
    <col min="12299" max="12299" width="18.7109375" style="2" bestFit="1" customWidth="1"/>
    <col min="12300" max="12300" width="19.42578125" style="2" bestFit="1" customWidth="1"/>
    <col min="12301" max="12301" width="0.5703125" style="2" customWidth="1"/>
    <col min="12302" max="12303" width="18.7109375" style="2" bestFit="1" customWidth="1"/>
    <col min="12304" max="12304" width="16.5703125" style="2" customWidth="1"/>
    <col min="12305" max="12305" width="0.7109375" style="2" customWidth="1"/>
    <col min="12306" max="12307" width="19.85546875" style="2" bestFit="1" customWidth="1"/>
    <col min="12308" max="12308" width="18.7109375" style="2" bestFit="1" customWidth="1"/>
    <col min="12309" max="12309" width="14.5703125" style="2" customWidth="1"/>
    <col min="12310" max="12310" width="9.140625" style="2"/>
    <col min="12311" max="12311" width="13.140625" style="2" bestFit="1" customWidth="1"/>
    <col min="12312" max="12544" width="9.140625" style="2"/>
    <col min="12545" max="12548" width="2.7109375" style="2" customWidth="1"/>
    <col min="12549" max="12549" width="50.5703125" style="2" customWidth="1"/>
    <col min="12550" max="12551" width="19.28515625" style="2" customWidth="1"/>
    <col min="12552" max="12552" width="18.5703125" style="2" customWidth="1"/>
    <col min="12553" max="12553" width="0.7109375" style="2" customWidth="1"/>
    <col min="12554" max="12554" width="24" style="2" bestFit="1" customWidth="1"/>
    <col min="12555" max="12555" width="18.7109375" style="2" bestFit="1" customWidth="1"/>
    <col min="12556" max="12556" width="19.42578125" style="2" bestFit="1" customWidth="1"/>
    <col min="12557" max="12557" width="0.5703125" style="2" customWidth="1"/>
    <col min="12558" max="12559" width="18.7109375" style="2" bestFit="1" customWidth="1"/>
    <col min="12560" max="12560" width="16.5703125" style="2" customWidth="1"/>
    <col min="12561" max="12561" width="0.7109375" style="2" customWidth="1"/>
    <col min="12562" max="12563" width="19.85546875" style="2" bestFit="1" customWidth="1"/>
    <col min="12564" max="12564" width="18.7109375" style="2" bestFit="1" customWidth="1"/>
    <col min="12565" max="12565" width="14.5703125" style="2" customWidth="1"/>
    <col min="12566" max="12566" width="9.140625" style="2"/>
    <col min="12567" max="12567" width="13.140625" style="2" bestFit="1" customWidth="1"/>
    <col min="12568" max="12800" width="9.140625" style="2"/>
    <col min="12801" max="12804" width="2.7109375" style="2" customWidth="1"/>
    <col min="12805" max="12805" width="50.5703125" style="2" customWidth="1"/>
    <col min="12806" max="12807" width="19.28515625" style="2" customWidth="1"/>
    <col min="12808" max="12808" width="18.5703125" style="2" customWidth="1"/>
    <col min="12809" max="12809" width="0.7109375" style="2" customWidth="1"/>
    <col min="12810" max="12810" width="24" style="2" bestFit="1" customWidth="1"/>
    <col min="12811" max="12811" width="18.7109375" style="2" bestFit="1" customWidth="1"/>
    <col min="12812" max="12812" width="19.42578125" style="2" bestFit="1" customWidth="1"/>
    <col min="12813" max="12813" width="0.5703125" style="2" customWidth="1"/>
    <col min="12814" max="12815" width="18.7109375" style="2" bestFit="1" customWidth="1"/>
    <col min="12816" max="12816" width="16.5703125" style="2" customWidth="1"/>
    <col min="12817" max="12817" width="0.7109375" style="2" customWidth="1"/>
    <col min="12818" max="12819" width="19.85546875" style="2" bestFit="1" customWidth="1"/>
    <col min="12820" max="12820" width="18.7109375" style="2" bestFit="1" customWidth="1"/>
    <col min="12821" max="12821" width="14.5703125" style="2" customWidth="1"/>
    <col min="12822" max="12822" width="9.140625" style="2"/>
    <col min="12823" max="12823" width="13.140625" style="2" bestFit="1" customWidth="1"/>
    <col min="12824" max="13056" width="9.140625" style="2"/>
    <col min="13057" max="13060" width="2.7109375" style="2" customWidth="1"/>
    <col min="13061" max="13061" width="50.5703125" style="2" customWidth="1"/>
    <col min="13062" max="13063" width="19.28515625" style="2" customWidth="1"/>
    <col min="13064" max="13064" width="18.5703125" style="2" customWidth="1"/>
    <col min="13065" max="13065" width="0.7109375" style="2" customWidth="1"/>
    <col min="13066" max="13066" width="24" style="2" bestFit="1" customWidth="1"/>
    <col min="13067" max="13067" width="18.7109375" style="2" bestFit="1" customWidth="1"/>
    <col min="13068" max="13068" width="19.42578125" style="2" bestFit="1" customWidth="1"/>
    <col min="13069" max="13069" width="0.5703125" style="2" customWidth="1"/>
    <col min="13070" max="13071" width="18.7109375" style="2" bestFit="1" customWidth="1"/>
    <col min="13072" max="13072" width="16.5703125" style="2" customWidth="1"/>
    <col min="13073" max="13073" width="0.7109375" style="2" customWidth="1"/>
    <col min="13074" max="13075" width="19.85546875" style="2" bestFit="1" customWidth="1"/>
    <col min="13076" max="13076" width="18.7109375" style="2" bestFit="1" customWidth="1"/>
    <col min="13077" max="13077" width="14.5703125" style="2" customWidth="1"/>
    <col min="13078" max="13078" width="9.140625" style="2"/>
    <col min="13079" max="13079" width="13.140625" style="2" bestFit="1" customWidth="1"/>
    <col min="13080" max="13312" width="9.140625" style="2"/>
    <col min="13313" max="13316" width="2.7109375" style="2" customWidth="1"/>
    <col min="13317" max="13317" width="50.5703125" style="2" customWidth="1"/>
    <col min="13318" max="13319" width="19.28515625" style="2" customWidth="1"/>
    <col min="13320" max="13320" width="18.5703125" style="2" customWidth="1"/>
    <col min="13321" max="13321" width="0.7109375" style="2" customWidth="1"/>
    <col min="13322" max="13322" width="24" style="2" bestFit="1" customWidth="1"/>
    <col min="13323" max="13323" width="18.7109375" style="2" bestFit="1" customWidth="1"/>
    <col min="13324" max="13324" width="19.42578125" style="2" bestFit="1" customWidth="1"/>
    <col min="13325" max="13325" width="0.5703125" style="2" customWidth="1"/>
    <col min="13326" max="13327" width="18.7109375" style="2" bestFit="1" customWidth="1"/>
    <col min="13328" max="13328" width="16.5703125" style="2" customWidth="1"/>
    <col min="13329" max="13329" width="0.7109375" style="2" customWidth="1"/>
    <col min="13330" max="13331" width="19.85546875" style="2" bestFit="1" customWidth="1"/>
    <col min="13332" max="13332" width="18.7109375" style="2" bestFit="1" customWidth="1"/>
    <col min="13333" max="13333" width="14.5703125" style="2" customWidth="1"/>
    <col min="13334" max="13334" width="9.140625" style="2"/>
    <col min="13335" max="13335" width="13.140625" style="2" bestFit="1" customWidth="1"/>
    <col min="13336" max="13568" width="9.140625" style="2"/>
    <col min="13569" max="13572" width="2.7109375" style="2" customWidth="1"/>
    <col min="13573" max="13573" width="50.5703125" style="2" customWidth="1"/>
    <col min="13574" max="13575" width="19.28515625" style="2" customWidth="1"/>
    <col min="13576" max="13576" width="18.5703125" style="2" customWidth="1"/>
    <col min="13577" max="13577" width="0.7109375" style="2" customWidth="1"/>
    <col min="13578" max="13578" width="24" style="2" bestFit="1" customWidth="1"/>
    <col min="13579" max="13579" width="18.7109375" style="2" bestFit="1" customWidth="1"/>
    <col min="13580" max="13580" width="19.42578125" style="2" bestFit="1" customWidth="1"/>
    <col min="13581" max="13581" width="0.5703125" style="2" customWidth="1"/>
    <col min="13582" max="13583" width="18.7109375" style="2" bestFit="1" customWidth="1"/>
    <col min="13584" max="13584" width="16.5703125" style="2" customWidth="1"/>
    <col min="13585" max="13585" width="0.7109375" style="2" customWidth="1"/>
    <col min="13586" max="13587" width="19.85546875" style="2" bestFit="1" customWidth="1"/>
    <col min="13588" max="13588" width="18.7109375" style="2" bestFit="1" customWidth="1"/>
    <col min="13589" max="13589" width="14.5703125" style="2" customWidth="1"/>
    <col min="13590" max="13590" width="9.140625" style="2"/>
    <col min="13591" max="13591" width="13.140625" style="2" bestFit="1" customWidth="1"/>
    <col min="13592" max="13824" width="9.140625" style="2"/>
    <col min="13825" max="13828" width="2.7109375" style="2" customWidth="1"/>
    <col min="13829" max="13829" width="50.5703125" style="2" customWidth="1"/>
    <col min="13830" max="13831" width="19.28515625" style="2" customWidth="1"/>
    <col min="13832" max="13832" width="18.5703125" style="2" customWidth="1"/>
    <col min="13833" max="13833" width="0.7109375" style="2" customWidth="1"/>
    <col min="13834" max="13834" width="24" style="2" bestFit="1" customWidth="1"/>
    <col min="13835" max="13835" width="18.7109375" style="2" bestFit="1" customWidth="1"/>
    <col min="13836" max="13836" width="19.42578125" style="2" bestFit="1" customWidth="1"/>
    <col min="13837" max="13837" width="0.5703125" style="2" customWidth="1"/>
    <col min="13838" max="13839" width="18.7109375" style="2" bestFit="1" customWidth="1"/>
    <col min="13840" max="13840" width="16.5703125" style="2" customWidth="1"/>
    <col min="13841" max="13841" width="0.7109375" style="2" customWidth="1"/>
    <col min="13842" max="13843" width="19.85546875" style="2" bestFit="1" customWidth="1"/>
    <col min="13844" max="13844" width="18.7109375" style="2" bestFit="1" customWidth="1"/>
    <col min="13845" max="13845" width="14.5703125" style="2" customWidth="1"/>
    <col min="13846" max="13846" width="9.140625" style="2"/>
    <col min="13847" max="13847" width="13.140625" style="2" bestFit="1" customWidth="1"/>
    <col min="13848" max="14080" width="9.140625" style="2"/>
    <col min="14081" max="14084" width="2.7109375" style="2" customWidth="1"/>
    <col min="14085" max="14085" width="50.5703125" style="2" customWidth="1"/>
    <col min="14086" max="14087" width="19.28515625" style="2" customWidth="1"/>
    <col min="14088" max="14088" width="18.5703125" style="2" customWidth="1"/>
    <col min="14089" max="14089" width="0.7109375" style="2" customWidth="1"/>
    <col min="14090" max="14090" width="24" style="2" bestFit="1" customWidth="1"/>
    <col min="14091" max="14091" width="18.7109375" style="2" bestFit="1" customWidth="1"/>
    <col min="14092" max="14092" width="19.42578125" style="2" bestFit="1" customWidth="1"/>
    <col min="14093" max="14093" width="0.5703125" style="2" customWidth="1"/>
    <col min="14094" max="14095" width="18.7109375" style="2" bestFit="1" customWidth="1"/>
    <col min="14096" max="14096" width="16.5703125" style="2" customWidth="1"/>
    <col min="14097" max="14097" width="0.7109375" style="2" customWidth="1"/>
    <col min="14098" max="14099" width="19.85546875" style="2" bestFit="1" customWidth="1"/>
    <col min="14100" max="14100" width="18.7109375" style="2" bestFit="1" customWidth="1"/>
    <col min="14101" max="14101" width="14.5703125" style="2" customWidth="1"/>
    <col min="14102" max="14102" width="9.140625" style="2"/>
    <col min="14103" max="14103" width="13.140625" style="2" bestFit="1" customWidth="1"/>
    <col min="14104" max="14336" width="9.140625" style="2"/>
    <col min="14337" max="14340" width="2.7109375" style="2" customWidth="1"/>
    <col min="14341" max="14341" width="50.5703125" style="2" customWidth="1"/>
    <col min="14342" max="14343" width="19.28515625" style="2" customWidth="1"/>
    <col min="14344" max="14344" width="18.5703125" style="2" customWidth="1"/>
    <col min="14345" max="14345" width="0.7109375" style="2" customWidth="1"/>
    <col min="14346" max="14346" width="24" style="2" bestFit="1" customWidth="1"/>
    <col min="14347" max="14347" width="18.7109375" style="2" bestFit="1" customWidth="1"/>
    <col min="14348" max="14348" width="19.42578125" style="2" bestFit="1" customWidth="1"/>
    <col min="14349" max="14349" width="0.5703125" style="2" customWidth="1"/>
    <col min="14350" max="14351" width="18.7109375" style="2" bestFit="1" customWidth="1"/>
    <col min="14352" max="14352" width="16.5703125" style="2" customWidth="1"/>
    <col min="14353" max="14353" width="0.7109375" style="2" customWidth="1"/>
    <col min="14354" max="14355" width="19.85546875" style="2" bestFit="1" customWidth="1"/>
    <col min="14356" max="14356" width="18.7109375" style="2" bestFit="1" customWidth="1"/>
    <col min="14357" max="14357" width="14.5703125" style="2" customWidth="1"/>
    <col min="14358" max="14358" width="9.140625" style="2"/>
    <col min="14359" max="14359" width="13.140625" style="2" bestFit="1" customWidth="1"/>
    <col min="14360" max="14592" width="9.140625" style="2"/>
    <col min="14593" max="14596" width="2.7109375" style="2" customWidth="1"/>
    <col min="14597" max="14597" width="50.5703125" style="2" customWidth="1"/>
    <col min="14598" max="14599" width="19.28515625" style="2" customWidth="1"/>
    <col min="14600" max="14600" width="18.5703125" style="2" customWidth="1"/>
    <col min="14601" max="14601" width="0.7109375" style="2" customWidth="1"/>
    <col min="14602" max="14602" width="24" style="2" bestFit="1" customWidth="1"/>
    <col min="14603" max="14603" width="18.7109375" style="2" bestFit="1" customWidth="1"/>
    <col min="14604" max="14604" width="19.42578125" style="2" bestFit="1" customWidth="1"/>
    <col min="14605" max="14605" width="0.5703125" style="2" customWidth="1"/>
    <col min="14606" max="14607" width="18.7109375" style="2" bestFit="1" customWidth="1"/>
    <col min="14608" max="14608" width="16.5703125" style="2" customWidth="1"/>
    <col min="14609" max="14609" width="0.7109375" style="2" customWidth="1"/>
    <col min="14610" max="14611" width="19.85546875" style="2" bestFit="1" customWidth="1"/>
    <col min="14612" max="14612" width="18.7109375" style="2" bestFit="1" customWidth="1"/>
    <col min="14613" max="14613" width="14.5703125" style="2" customWidth="1"/>
    <col min="14614" max="14614" width="9.140625" style="2"/>
    <col min="14615" max="14615" width="13.140625" style="2" bestFit="1" customWidth="1"/>
    <col min="14616" max="14848" width="9.140625" style="2"/>
    <col min="14849" max="14852" width="2.7109375" style="2" customWidth="1"/>
    <col min="14853" max="14853" width="50.5703125" style="2" customWidth="1"/>
    <col min="14854" max="14855" width="19.28515625" style="2" customWidth="1"/>
    <col min="14856" max="14856" width="18.5703125" style="2" customWidth="1"/>
    <col min="14857" max="14857" width="0.7109375" style="2" customWidth="1"/>
    <col min="14858" max="14858" width="24" style="2" bestFit="1" customWidth="1"/>
    <col min="14859" max="14859" width="18.7109375" style="2" bestFit="1" customWidth="1"/>
    <col min="14860" max="14860" width="19.42578125" style="2" bestFit="1" customWidth="1"/>
    <col min="14861" max="14861" width="0.5703125" style="2" customWidth="1"/>
    <col min="14862" max="14863" width="18.7109375" style="2" bestFit="1" customWidth="1"/>
    <col min="14864" max="14864" width="16.5703125" style="2" customWidth="1"/>
    <col min="14865" max="14865" width="0.7109375" style="2" customWidth="1"/>
    <col min="14866" max="14867" width="19.85546875" style="2" bestFit="1" customWidth="1"/>
    <col min="14868" max="14868" width="18.7109375" style="2" bestFit="1" customWidth="1"/>
    <col min="14869" max="14869" width="14.5703125" style="2" customWidth="1"/>
    <col min="14870" max="14870" width="9.140625" style="2"/>
    <col min="14871" max="14871" width="13.140625" style="2" bestFit="1" customWidth="1"/>
    <col min="14872" max="15104" width="9.140625" style="2"/>
    <col min="15105" max="15108" width="2.7109375" style="2" customWidth="1"/>
    <col min="15109" max="15109" width="50.5703125" style="2" customWidth="1"/>
    <col min="15110" max="15111" width="19.28515625" style="2" customWidth="1"/>
    <col min="15112" max="15112" width="18.5703125" style="2" customWidth="1"/>
    <col min="15113" max="15113" width="0.7109375" style="2" customWidth="1"/>
    <col min="15114" max="15114" width="24" style="2" bestFit="1" customWidth="1"/>
    <col min="15115" max="15115" width="18.7109375" style="2" bestFit="1" customWidth="1"/>
    <col min="15116" max="15116" width="19.42578125" style="2" bestFit="1" customWidth="1"/>
    <col min="15117" max="15117" width="0.5703125" style="2" customWidth="1"/>
    <col min="15118" max="15119" width="18.7109375" style="2" bestFit="1" customWidth="1"/>
    <col min="15120" max="15120" width="16.5703125" style="2" customWidth="1"/>
    <col min="15121" max="15121" width="0.7109375" style="2" customWidth="1"/>
    <col min="15122" max="15123" width="19.85546875" style="2" bestFit="1" customWidth="1"/>
    <col min="15124" max="15124" width="18.7109375" style="2" bestFit="1" customWidth="1"/>
    <col min="15125" max="15125" width="14.5703125" style="2" customWidth="1"/>
    <col min="15126" max="15126" width="9.140625" style="2"/>
    <col min="15127" max="15127" width="13.140625" style="2" bestFit="1" customWidth="1"/>
    <col min="15128" max="15360" width="9.140625" style="2"/>
    <col min="15361" max="15364" width="2.7109375" style="2" customWidth="1"/>
    <col min="15365" max="15365" width="50.5703125" style="2" customWidth="1"/>
    <col min="15366" max="15367" width="19.28515625" style="2" customWidth="1"/>
    <col min="15368" max="15368" width="18.5703125" style="2" customWidth="1"/>
    <col min="15369" max="15369" width="0.7109375" style="2" customWidth="1"/>
    <col min="15370" max="15370" width="24" style="2" bestFit="1" customWidth="1"/>
    <col min="15371" max="15371" width="18.7109375" style="2" bestFit="1" customWidth="1"/>
    <col min="15372" max="15372" width="19.42578125" style="2" bestFit="1" customWidth="1"/>
    <col min="15373" max="15373" width="0.5703125" style="2" customWidth="1"/>
    <col min="15374" max="15375" width="18.7109375" style="2" bestFit="1" customWidth="1"/>
    <col min="15376" max="15376" width="16.5703125" style="2" customWidth="1"/>
    <col min="15377" max="15377" width="0.7109375" style="2" customWidth="1"/>
    <col min="15378" max="15379" width="19.85546875" style="2" bestFit="1" customWidth="1"/>
    <col min="15380" max="15380" width="18.7109375" style="2" bestFit="1" customWidth="1"/>
    <col min="15381" max="15381" width="14.5703125" style="2" customWidth="1"/>
    <col min="15382" max="15382" width="9.140625" style="2"/>
    <col min="15383" max="15383" width="13.140625" style="2" bestFit="1" customWidth="1"/>
    <col min="15384" max="15616" width="9.140625" style="2"/>
    <col min="15617" max="15620" width="2.7109375" style="2" customWidth="1"/>
    <col min="15621" max="15621" width="50.5703125" style="2" customWidth="1"/>
    <col min="15622" max="15623" width="19.28515625" style="2" customWidth="1"/>
    <col min="15624" max="15624" width="18.5703125" style="2" customWidth="1"/>
    <col min="15625" max="15625" width="0.7109375" style="2" customWidth="1"/>
    <col min="15626" max="15626" width="24" style="2" bestFit="1" customWidth="1"/>
    <col min="15627" max="15627" width="18.7109375" style="2" bestFit="1" customWidth="1"/>
    <col min="15628" max="15628" width="19.42578125" style="2" bestFit="1" customWidth="1"/>
    <col min="15629" max="15629" width="0.5703125" style="2" customWidth="1"/>
    <col min="15630" max="15631" width="18.7109375" style="2" bestFit="1" customWidth="1"/>
    <col min="15632" max="15632" width="16.5703125" style="2" customWidth="1"/>
    <col min="15633" max="15633" width="0.7109375" style="2" customWidth="1"/>
    <col min="15634" max="15635" width="19.85546875" style="2" bestFit="1" customWidth="1"/>
    <col min="15636" max="15636" width="18.7109375" style="2" bestFit="1" customWidth="1"/>
    <col min="15637" max="15637" width="14.5703125" style="2" customWidth="1"/>
    <col min="15638" max="15638" width="9.140625" style="2"/>
    <col min="15639" max="15639" width="13.140625" style="2" bestFit="1" customWidth="1"/>
    <col min="15640" max="15872" width="9.140625" style="2"/>
    <col min="15873" max="15876" width="2.7109375" style="2" customWidth="1"/>
    <col min="15877" max="15877" width="50.5703125" style="2" customWidth="1"/>
    <col min="15878" max="15879" width="19.28515625" style="2" customWidth="1"/>
    <col min="15880" max="15880" width="18.5703125" style="2" customWidth="1"/>
    <col min="15881" max="15881" width="0.7109375" style="2" customWidth="1"/>
    <col min="15882" max="15882" width="24" style="2" bestFit="1" customWidth="1"/>
    <col min="15883" max="15883" width="18.7109375" style="2" bestFit="1" customWidth="1"/>
    <col min="15884" max="15884" width="19.42578125" style="2" bestFit="1" customWidth="1"/>
    <col min="15885" max="15885" width="0.5703125" style="2" customWidth="1"/>
    <col min="15886" max="15887" width="18.7109375" style="2" bestFit="1" customWidth="1"/>
    <col min="15888" max="15888" width="16.5703125" style="2" customWidth="1"/>
    <col min="15889" max="15889" width="0.7109375" style="2" customWidth="1"/>
    <col min="15890" max="15891" width="19.85546875" style="2" bestFit="1" customWidth="1"/>
    <col min="15892" max="15892" width="18.7109375" style="2" bestFit="1" customWidth="1"/>
    <col min="15893" max="15893" width="14.5703125" style="2" customWidth="1"/>
    <col min="15894" max="15894" width="9.140625" style="2"/>
    <col min="15895" max="15895" width="13.140625" style="2" bestFit="1" customWidth="1"/>
    <col min="15896" max="16128" width="9.140625" style="2"/>
    <col min="16129" max="16132" width="2.7109375" style="2" customWidth="1"/>
    <col min="16133" max="16133" width="50.5703125" style="2" customWidth="1"/>
    <col min="16134" max="16135" width="19.28515625" style="2" customWidth="1"/>
    <col min="16136" max="16136" width="18.5703125" style="2" customWidth="1"/>
    <col min="16137" max="16137" width="0.7109375" style="2" customWidth="1"/>
    <col min="16138" max="16138" width="24" style="2" bestFit="1" customWidth="1"/>
    <col min="16139" max="16139" width="18.7109375" style="2" bestFit="1" customWidth="1"/>
    <col min="16140" max="16140" width="19.42578125" style="2" bestFit="1" customWidth="1"/>
    <col min="16141" max="16141" width="0.5703125" style="2" customWidth="1"/>
    <col min="16142" max="16143" width="18.7109375" style="2" bestFit="1" customWidth="1"/>
    <col min="16144" max="16144" width="16.5703125" style="2" customWidth="1"/>
    <col min="16145" max="16145" width="0.7109375" style="2" customWidth="1"/>
    <col min="16146" max="16147" width="19.85546875" style="2" bestFit="1" customWidth="1"/>
    <col min="16148" max="16148" width="18.7109375" style="2" bestFit="1" customWidth="1"/>
    <col min="16149" max="16149" width="14.5703125" style="2" customWidth="1"/>
    <col min="16150" max="16150" width="9.140625" style="2"/>
    <col min="16151" max="16151" width="13.140625" style="2" bestFit="1" customWidth="1"/>
    <col min="16152" max="16384" width="9.140625" style="2"/>
  </cols>
  <sheetData>
    <row r="1" spans="2:21" ht="18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2:21" ht="20.25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21" ht="18">
      <c r="B3" s="131" t="s">
        <v>144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1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2:21" ht="24.95" customHeight="1">
      <c r="B5" s="134" t="s">
        <v>3</v>
      </c>
      <c r="C5" s="135"/>
      <c r="D5" s="135"/>
      <c r="E5" s="136"/>
      <c r="F5" s="140" t="s">
        <v>4</v>
      </c>
      <c r="G5" s="141"/>
      <c r="H5" s="142"/>
      <c r="I5" s="3"/>
      <c r="J5" s="140" t="s">
        <v>5</v>
      </c>
      <c r="K5" s="141"/>
      <c r="L5" s="142"/>
      <c r="M5" s="4"/>
      <c r="N5" s="140" t="s">
        <v>6</v>
      </c>
      <c r="O5" s="141"/>
      <c r="P5" s="142"/>
      <c r="Q5" s="3"/>
      <c r="R5" s="140" t="s">
        <v>7</v>
      </c>
      <c r="S5" s="141"/>
      <c r="T5" s="143"/>
      <c r="U5" s="127" t="s">
        <v>8</v>
      </c>
    </row>
    <row r="6" spans="2:21" s="8" customFormat="1" ht="28.5" customHeight="1" thickBot="1">
      <c r="B6" s="137"/>
      <c r="C6" s="138"/>
      <c r="D6" s="138"/>
      <c r="E6" s="139"/>
      <c r="F6" s="5" t="s">
        <v>9</v>
      </c>
      <c r="G6" s="6" t="s">
        <v>10</v>
      </c>
      <c r="H6" s="5" t="s">
        <v>11</v>
      </c>
      <c r="I6" s="6"/>
      <c r="J6" s="5" t="s">
        <v>12</v>
      </c>
      <c r="K6" s="6" t="s">
        <v>10</v>
      </c>
      <c r="L6" s="5" t="s">
        <v>11</v>
      </c>
      <c r="M6" s="5"/>
      <c r="N6" s="5" t="s">
        <v>9</v>
      </c>
      <c r="O6" s="6" t="s">
        <v>10</v>
      </c>
      <c r="P6" s="5" t="s">
        <v>11</v>
      </c>
      <c r="Q6" s="5"/>
      <c r="R6" s="6" t="s">
        <v>13</v>
      </c>
      <c r="S6" s="6" t="s">
        <v>10</v>
      </c>
      <c r="T6" s="7" t="s">
        <v>11</v>
      </c>
      <c r="U6" s="128"/>
    </row>
    <row r="7" spans="2:21" ht="24.95" customHeight="1">
      <c r="B7" s="9"/>
      <c r="C7" s="10"/>
      <c r="D7" s="10"/>
      <c r="E7" s="11"/>
      <c r="F7" s="12"/>
      <c r="G7" s="12"/>
      <c r="H7" s="12"/>
      <c r="I7" s="13"/>
      <c r="J7" s="12"/>
      <c r="K7" s="12"/>
      <c r="L7" s="12"/>
      <c r="M7" s="12"/>
      <c r="N7" s="12"/>
      <c r="O7" s="12"/>
      <c r="P7" s="12"/>
      <c r="Q7" s="13"/>
      <c r="R7" s="12"/>
      <c r="S7" s="12"/>
      <c r="T7" s="14"/>
      <c r="U7" s="15"/>
    </row>
    <row r="8" spans="2:21" ht="24.95" customHeight="1">
      <c r="B8" s="9" t="s">
        <v>14</v>
      </c>
      <c r="C8" s="10"/>
      <c r="D8" s="10"/>
      <c r="E8" s="11"/>
      <c r="F8" s="12">
        <f>1020120000-180193772.56</f>
        <v>839926227.44000006</v>
      </c>
      <c r="G8" s="12">
        <f>752060239.49+41245</f>
        <v>752101484.49000001</v>
      </c>
      <c r="H8" s="12">
        <f>+F8-G8</f>
        <v>87824742.950000048</v>
      </c>
      <c r="I8" s="13"/>
      <c r="J8" s="12"/>
      <c r="K8" s="12"/>
      <c r="L8" s="12">
        <f>+J8-K8</f>
        <v>0</v>
      </c>
      <c r="M8" s="12"/>
      <c r="N8" s="12">
        <f>375059+29514</f>
        <v>404573</v>
      </c>
      <c r="O8" s="12">
        <v>20861.05</v>
      </c>
      <c r="P8" s="12">
        <f>+N8-O8</f>
        <v>383711.95</v>
      </c>
      <c r="Q8" s="16"/>
      <c r="R8" s="12">
        <f>+F8+J8+N8</f>
        <v>840330800.44000006</v>
      </c>
      <c r="S8" s="12">
        <f>+G8+K8+O8</f>
        <v>752122345.53999996</v>
      </c>
      <c r="T8" s="14">
        <f>+R8-S8</f>
        <v>88208454.900000095</v>
      </c>
      <c r="U8" s="17">
        <f>+S8/R8</f>
        <v>0.89503127238247859</v>
      </c>
    </row>
    <row r="9" spans="2:21" ht="24.95" customHeight="1">
      <c r="B9" s="18"/>
      <c r="C9" s="10"/>
      <c r="D9" s="10"/>
      <c r="E9" s="19"/>
      <c r="F9" s="12"/>
      <c r="G9" s="12"/>
      <c r="H9" s="12">
        <f>+F9-G9</f>
        <v>0</v>
      </c>
      <c r="I9" s="13"/>
      <c r="J9" s="12"/>
      <c r="K9" s="12"/>
      <c r="L9" s="12">
        <f>+J9-K9</f>
        <v>0</v>
      </c>
      <c r="M9" s="12"/>
      <c r="N9" s="12"/>
      <c r="O9" s="12"/>
      <c r="P9" s="12">
        <f>+N9-O9</f>
        <v>0</v>
      </c>
      <c r="Q9" s="13"/>
      <c r="R9" s="12"/>
      <c r="S9" s="12"/>
      <c r="T9" s="14"/>
      <c r="U9" s="17"/>
    </row>
    <row r="10" spans="2:21" ht="24.95" customHeight="1">
      <c r="B10" s="9" t="s">
        <v>15</v>
      </c>
      <c r="C10" s="10"/>
      <c r="D10" s="10"/>
      <c r="E10" s="11"/>
      <c r="F10" s="12"/>
      <c r="G10" s="12"/>
      <c r="H10" s="12"/>
      <c r="I10" s="13"/>
      <c r="J10" s="12"/>
      <c r="K10" s="12"/>
      <c r="L10" s="12"/>
      <c r="M10" s="12"/>
      <c r="N10" s="12"/>
      <c r="O10" s="12"/>
      <c r="P10" s="12"/>
      <c r="Q10" s="13"/>
      <c r="R10" s="12"/>
      <c r="S10" s="12"/>
      <c r="T10" s="14"/>
      <c r="U10" s="17"/>
    </row>
    <row r="11" spans="2:21" ht="30" customHeight="1">
      <c r="B11" s="9"/>
      <c r="C11" s="129" t="s">
        <v>16</v>
      </c>
      <c r="D11" s="129"/>
      <c r="E11" s="130"/>
      <c r="F11" s="12">
        <f>SUM(F13:F46)</f>
        <v>1163122778.4400001</v>
      </c>
      <c r="G11" s="12">
        <f t="shared" ref="G11:T11" si="0">SUM(G13:G46)</f>
        <v>1148970110.47</v>
      </c>
      <c r="H11" s="12">
        <f t="shared" si="0"/>
        <v>14152667.969999999</v>
      </c>
      <c r="I11" s="12">
        <f t="shared" si="0"/>
        <v>2208000</v>
      </c>
      <c r="J11" s="12">
        <f>SUM(J13:J46)</f>
        <v>37708471.560000002</v>
      </c>
      <c r="K11" s="12">
        <f>SUM(K13:K46)</f>
        <v>89372365.640000001</v>
      </c>
      <c r="L11" s="12">
        <f>SUM(L13:L46)</f>
        <v>-51663894.079999998</v>
      </c>
      <c r="M11" s="12">
        <f t="shared" si="0"/>
        <v>0</v>
      </c>
      <c r="N11" s="12">
        <f>SUM(N13:N46)</f>
        <v>67997500</v>
      </c>
      <c r="O11" s="12">
        <f>SUM(O13:O46)</f>
        <v>166844191.81999999</v>
      </c>
      <c r="P11" s="12">
        <f>SUM(P13:P46)</f>
        <v>-98846691.819999978</v>
      </c>
      <c r="Q11" s="12">
        <f t="shared" si="0"/>
        <v>0</v>
      </c>
      <c r="R11" s="12">
        <f t="shared" si="0"/>
        <v>1268828750</v>
      </c>
      <c r="S11" s="12">
        <f t="shared" si="0"/>
        <v>1405186667.9299996</v>
      </c>
      <c r="T11" s="14">
        <f t="shared" si="0"/>
        <v>-136357917.92999989</v>
      </c>
      <c r="U11" s="17">
        <f>+S11/R11</f>
        <v>1.1074675506288769</v>
      </c>
    </row>
    <row r="12" spans="2:21" ht="24.95" customHeight="1">
      <c r="B12" s="18"/>
      <c r="C12" s="20" t="s">
        <v>17</v>
      </c>
      <c r="D12" s="20"/>
      <c r="E12" s="10"/>
      <c r="F12" s="12"/>
      <c r="G12" s="12"/>
      <c r="H12" s="12">
        <f t="shared" ref="H12:H17" si="1">+F12-G12</f>
        <v>0</v>
      </c>
      <c r="I12" s="13"/>
      <c r="J12" s="12"/>
      <c r="K12" s="12"/>
      <c r="L12" s="12">
        <f t="shared" ref="L12:L17" si="2">+J12-K12</f>
        <v>0</v>
      </c>
      <c r="M12" s="12"/>
      <c r="N12" s="12"/>
      <c r="O12" s="12"/>
      <c r="P12" s="12">
        <f t="shared" ref="P12:P17" si="3">+N12-O12</f>
        <v>0</v>
      </c>
      <c r="Q12" s="13"/>
      <c r="R12" s="12"/>
      <c r="S12" s="12"/>
      <c r="T12" s="14"/>
      <c r="U12" s="17"/>
    </row>
    <row r="13" spans="2:21" ht="24.95" customHeight="1">
      <c r="B13" s="18"/>
      <c r="C13" s="20"/>
      <c r="D13" s="20"/>
      <c r="E13" s="10" t="s">
        <v>18</v>
      </c>
      <c r="F13" s="12">
        <v>24530000</v>
      </c>
      <c r="G13" s="12">
        <v>24532741.890000001</v>
      </c>
      <c r="H13" s="12">
        <f t="shared" si="1"/>
        <v>-2741.890000000596</v>
      </c>
      <c r="I13" s="13"/>
      <c r="J13" s="12">
        <v>15000000</v>
      </c>
      <c r="K13" s="12">
        <v>15000000</v>
      </c>
      <c r="L13" s="12">
        <f t="shared" si="2"/>
        <v>0</v>
      </c>
      <c r="M13" s="12"/>
      <c r="N13" s="12"/>
      <c r="O13" s="12"/>
      <c r="P13" s="12">
        <f t="shared" si="3"/>
        <v>0</v>
      </c>
      <c r="Q13" s="13"/>
      <c r="R13" s="12">
        <f t="shared" ref="R13:S17" si="4">+F13+J13+N13</f>
        <v>39530000</v>
      </c>
      <c r="S13" s="12">
        <f t="shared" si="4"/>
        <v>39532741.890000001</v>
      </c>
      <c r="T13" s="14">
        <f>+R13-S13</f>
        <v>-2741.890000000596</v>
      </c>
      <c r="U13" s="17">
        <f t="shared" ref="U13:U72" si="5">+S13/R13</f>
        <v>1.000069362256514</v>
      </c>
    </row>
    <row r="14" spans="2:21" ht="24.95" customHeight="1">
      <c r="B14" s="18"/>
      <c r="C14" s="10"/>
      <c r="D14" s="10"/>
      <c r="E14" s="21" t="s">
        <v>19</v>
      </c>
      <c r="F14" s="12">
        <v>17416686.539999999</v>
      </c>
      <c r="G14" s="12">
        <v>18079744.239999998</v>
      </c>
      <c r="H14" s="12">
        <f t="shared" si="1"/>
        <v>-663057.69999999925</v>
      </c>
      <c r="I14" s="13"/>
      <c r="J14" s="12"/>
      <c r="K14" s="12"/>
      <c r="L14" s="12">
        <f t="shared" si="2"/>
        <v>0</v>
      </c>
      <c r="M14" s="12"/>
      <c r="N14" s="12"/>
      <c r="O14" s="12"/>
      <c r="P14" s="12">
        <f t="shared" si="3"/>
        <v>0</v>
      </c>
      <c r="Q14" s="13"/>
      <c r="R14" s="12">
        <f t="shared" si="4"/>
        <v>17416686.539999999</v>
      </c>
      <c r="S14" s="12">
        <f t="shared" si="4"/>
        <v>18079744.239999998</v>
      </c>
      <c r="T14" s="14">
        <f>+R14-S14</f>
        <v>-663057.69999999925</v>
      </c>
      <c r="U14" s="17">
        <f t="shared" si="5"/>
        <v>1.0380702551244285</v>
      </c>
    </row>
    <row r="15" spans="2:21" ht="27" customHeight="1">
      <c r="B15" s="18"/>
      <c r="C15" s="10"/>
      <c r="D15" s="10"/>
      <c r="E15" s="21" t="s">
        <v>20</v>
      </c>
      <c r="F15" s="12">
        <v>8638695</v>
      </c>
      <c r="G15" s="12">
        <v>10155660</v>
      </c>
      <c r="H15" s="12">
        <f t="shared" si="1"/>
        <v>-1516965</v>
      </c>
      <c r="I15" s="13"/>
      <c r="J15" s="12"/>
      <c r="K15" s="12"/>
      <c r="L15" s="12">
        <f t="shared" si="2"/>
        <v>0</v>
      </c>
      <c r="M15" s="12"/>
      <c r="N15" s="12"/>
      <c r="O15" s="12"/>
      <c r="P15" s="12">
        <f t="shared" si="3"/>
        <v>0</v>
      </c>
      <c r="Q15" s="13"/>
      <c r="R15" s="12">
        <f t="shared" si="4"/>
        <v>8638695</v>
      </c>
      <c r="S15" s="12">
        <f t="shared" si="4"/>
        <v>10155660</v>
      </c>
      <c r="T15" s="14">
        <f>+R15-S15</f>
        <v>-1516965</v>
      </c>
      <c r="U15" s="17">
        <f t="shared" si="5"/>
        <v>1.1756011758720502</v>
      </c>
    </row>
    <row r="16" spans="2:21" ht="27" customHeight="1">
      <c r="B16" s="18"/>
      <c r="C16" s="10"/>
      <c r="D16" s="10"/>
      <c r="E16" s="22" t="s">
        <v>21</v>
      </c>
      <c r="F16" s="12"/>
      <c r="G16" s="12">
        <v>3394679.61</v>
      </c>
      <c r="H16" s="12">
        <f t="shared" si="1"/>
        <v>-3394679.61</v>
      </c>
      <c r="I16" s="13"/>
      <c r="J16" s="12"/>
      <c r="K16" s="12"/>
      <c r="L16" s="12">
        <f t="shared" si="2"/>
        <v>0</v>
      </c>
      <c r="M16" s="12"/>
      <c r="N16" s="12"/>
      <c r="O16" s="12"/>
      <c r="P16" s="12">
        <f t="shared" si="3"/>
        <v>0</v>
      </c>
      <c r="Q16" s="13"/>
      <c r="R16" s="12">
        <f t="shared" si="4"/>
        <v>0</v>
      </c>
      <c r="S16" s="12">
        <f t="shared" si="4"/>
        <v>3394679.61</v>
      </c>
      <c r="T16" s="14">
        <f>+R16-S16</f>
        <v>-3394679.61</v>
      </c>
      <c r="U16" s="17" t="e">
        <f t="shared" si="5"/>
        <v>#DIV/0!</v>
      </c>
    </row>
    <row r="17" spans="2:21" ht="27" customHeight="1">
      <c r="B17" s="18"/>
      <c r="C17" s="10"/>
      <c r="D17" s="10"/>
      <c r="E17" s="21" t="s">
        <v>22</v>
      </c>
      <c r="F17" s="12">
        <v>27873931</v>
      </c>
      <c r="G17" s="12">
        <v>30940236.489999998</v>
      </c>
      <c r="H17" s="12">
        <f t="shared" si="1"/>
        <v>-3066305.4899999984</v>
      </c>
      <c r="I17" s="13"/>
      <c r="J17" s="12"/>
      <c r="K17" s="12"/>
      <c r="L17" s="12">
        <f t="shared" si="2"/>
        <v>0</v>
      </c>
      <c r="M17" s="12"/>
      <c r="N17" s="12"/>
      <c r="O17" s="12"/>
      <c r="P17" s="12">
        <f t="shared" si="3"/>
        <v>0</v>
      </c>
      <c r="Q17" s="13"/>
      <c r="R17" s="12">
        <f t="shared" si="4"/>
        <v>27873931</v>
      </c>
      <c r="S17" s="12">
        <f t="shared" si="4"/>
        <v>30940236.489999998</v>
      </c>
      <c r="T17" s="14">
        <f>+R17-S17</f>
        <v>-3066305.4899999984</v>
      </c>
      <c r="U17" s="17">
        <f t="shared" si="5"/>
        <v>1.1100062093861105</v>
      </c>
    </row>
    <row r="18" spans="2:21" ht="24.95" customHeight="1">
      <c r="B18" s="18"/>
      <c r="C18" s="10"/>
      <c r="D18" s="10"/>
      <c r="E18" s="21"/>
      <c r="F18" s="12"/>
      <c r="G18" s="12"/>
      <c r="H18" s="12"/>
      <c r="I18" s="13"/>
      <c r="J18" s="12"/>
      <c r="K18" s="12"/>
      <c r="L18" s="12"/>
      <c r="M18" s="12"/>
      <c r="N18" s="12"/>
      <c r="O18" s="12"/>
      <c r="P18" s="12"/>
      <c r="Q18" s="13"/>
      <c r="R18" s="12"/>
      <c r="S18" s="12"/>
      <c r="T18" s="14"/>
      <c r="U18" s="17"/>
    </row>
    <row r="19" spans="2:21" ht="24.95" customHeight="1">
      <c r="B19" s="18"/>
      <c r="C19" s="20" t="s">
        <v>23</v>
      </c>
      <c r="D19" s="20"/>
      <c r="E19" s="10"/>
      <c r="F19" s="12"/>
      <c r="G19" s="12"/>
      <c r="H19" s="12"/>
      <c r="I19" s="13"/>
      <c r="J19" s="12"/>
      <c r="K19" s="12"/>
      <c r="L19" s="12"/>
      <c r="M19" s="12"/>
      <c r="N19" s="12"/>
      <c r="O19" s="12"/>
      <c r="P19" s="12"/>
      <c r="Q19" s="13"/>
      <c r="R19" s="12"/>
      <c r="S19" s="12"/>
      <c r="T19" s="14"/>
      <c r="U19" s="17"/>
    </row>
    <row r="20" spans="2:21" ht="24.95" customHeight="1">
      <c r="B20" s="18"/>
      <c r="C20" s="20"/>
      <c r="D20" s="20"/>
      <c r="E20" s="10" t="s">
        <v>24</v>
      </c>
      <c r="F20" s="12">
        <v>27233000</v>
      </c>
      <c r="G20" s="12">
        <v>78536537.019999996</v>
      </c>
      <c r="H20" s="12">
        <f>+F20-G20</f>
        <v>-51303537.019999996</v>
      </c>
      <c r="I20" s="13"/>
      <c r="J20" s="12"/>
      <c r="K20" s="12"/>
      <c r="L20" s="12">
        <f>+J20-K20</f>
        <v>0</v>
      </c>
      <c r="M20" s="12"/>
      <c r="N20" s="12">
        <v>61395000</v>
      </c>
      <c r="O20" s="12">
        <v>148682340.53999999</v>
      </c>
      <c r="P20" s="12">
        <f>+N20-O20</f>
        <v>-87287340.539999992</v>
      </c>
      <c r="Q20" s="13"/>
      <c r="R20" s="12">
        <f>+F20+J20+N20</f>
        <v>88628000</v>
      </c>
      <c r="S20" s="12">
        <f>+G20+K20+O20</f>
        <v>227218877.56</v>
      </c>
      <c r="T20" s="14">
        <f>+R20-S20</f>
        <v>-138590877.56</v>
      </c>
      <c r="U20" s="17">
        <f t="shared" si="5"/>
        <v>2.5637369404702803</v>
      </c>
    </row>
    <row r="21" spans="2:21" ht="28.5" customHeight="1">
      <c r="B21" s="18"/>
      <c r="C21" s="10"/>
      <c r="D21" s="10"/>
      <c r="E21" s="22" t="s">
        <v>142</v>
      </c>
      <c r="F21" s="12">
        <v>25642000</v>
      </c>
      <c r="G21" s="12">
        <v>30870240.359999999</v>
      </c>
      <c r="H21" s="12">
        <f>+F21-G21</f>
        <v>-5228240.3599999994</v>
      </c>
      <c r="I21" s="13"/>
      <c r="J21" s="12"/>
      <c r="K21" s="12"/>
      <c r="L21" s="12">
        <f>+J21-K21</f>
        <v>0</v>
      </c>
      <c r="M21" s="12"/>
      <c r="N21" s="12">
        <v>1579191</v>
      </c>
      <c r="O21" s="12">
        <v>1579190.57</v>
      </c>
      <c r="P21" s="12">
        <f>+N21-O21</f>
        <v>0.42999999993480742</v>
      </c>
      <c r="Q21" s="13"/>
      <c r="R21" s="12">
        <f>+F21+J21+N21</f>
        <v>27221191</v>
      </c>
      <c r="S21" s="12">
        <f>+G21+K21+O21</f>
        <v>32449430.93</v>
      </c>
      <c r="T21" s="14">
        <f>+R21-S21</f>
        <v>-5228239.93</v>
      </c>
      <c r="U21" s="17">
        <f t="shared" si="5"/>
        <v>1.1920650690853314</v>
      </c>
    </row>
    <row r="22" spans="2:21" ht="24.95" customHeight="1">
      <c r="B22" s="18"/>
      <c r="C22" s="10"/>
      <c r="D22" s="10"/>
      <c r="E22" s="22"/>
      <c r="F22" s="12"/>
      <c r="G22" s="12"/>
      <c r="H22" s="12"/>
      <c r="I22" s="13"/>
      <c r="J22" s="12"/>
      <c r="K22" s="12"/>
      <c r="L22" s="12"/>
      <c r="M22" s="12"/>
      <c r="N22" s="12"/>
      <c r="O22" s="12"/>
      <c r="P22" s="12"/>
      <c r="Q22" s="13"/>
      <c r="R22" s="12"/>
      <c r="S22" s="12"/>
      <c r="T22" s="14"/>
      <c r="U22" s="17"/>
    </row>
    <row r="23" spans="2:21" ht="24.95" customHeight="1">
      <c r="B23" s="18"/>
      <c r="C23" s="20" t="s">
        <v>26</v>
      </c>
      <c r="D23" s="20"/>
      <c r="E23" s="10"/>
      <c r="F23" s="12"/>
      <c r="G23" s="12"/>
      <c r="H23" s="12"/>
      <c r="I23" s="13"/>
      <c r="J23" s="12"/>
      <c r="K23" s="12"/>
      <c r="L23" s="12"/>
      <c r="M23" s="12"/>
      <c r="N23" s="12"/>
      <c r="O23" s="12"/>
      <c r="P23" s="12"/>
      <c r="Q23" s="13"/>
      <c r="R23" s="12"/>
      <c r="S23" s="12"/>
      <c r="T23" s="14"/>
      <c r="U23" s="17"/>
    </row>
    <row r="24" spans="2:21" ht="24.95" customHeight="1">
      <c r="B24" s="18"/>
      <c r="C24" s="20"/>
      <c r="D24" s="20"/>
      <c r="E24" s="10" t="s">
        <v>27</v>
      </c>
      <c r="F24" s="12">
        <v>72100000</v>
      </c>
      <c r="G24" s="12">
        <v>120948412.38</v>
      </c>
      <c r="H24" s="12">
        <f>+F24-G24</f>
        <v>-48848412.379999995</v>
      </c>
      <c r="I24" s="13"/>
      <c r="J24" s="12"/>
      <c r="K24" s="12"/>
      <c r="L24" s="12">
        <f>+J24-K24</f>
        <v>0</v>
      </c>
      <c r="M24" s="12"/>
      <c r="N24" s="12"/>
      <c r="O24" s="12"/>
      <c r="P24" s="12">
        <f>+N24-O24</f>
        <v>0</v>
      </c>
      <c r="Q24" s="13"/>
      <c r="R24" s="12">
        <f t="shared" ref="R24:S26" si="6">+F24+J24+N24</f>
        <v>72100000</v>
      </c>
      <c r="S24" s="12">
        <f t="shared" si="6"/>
        <v>120948412.38</v>
      </c>
      <c r="T24" s="14">
        <f>+R24-S24</f>
        <v>-48848412.379999995</v>
      </c>
      <c r="U24" s="17">
        <f t="shared" si="5"/>
        <v>1.677509186962552</v>
      </c>
    </row>
    <row r="25" spans="2:21" ht="27.75" customHeight="1">
      <c r="B25" s="18"/>
      <c r="C25" s="10"/>
      <c r="D25" s="10"/>
      <c r="E25" s="22" t="s">
        <v>28</v>
      </c>
      <c r="F25" s="12">
        <v>6393976</v>
      </c>
      <c r="G25" s="12">
        <v>8502164.3299999982</v>
      </c>
      <c r="H25" s="12">
        <f>+F25-G25</f>
        <v>-2108188.3299999982</v>
      </c>
      <c r="I25" s="13"/>
      <c r="J25" s="12"/>
      <c r="K25" s="12">
        <v>36750000</v>
      </c>
      <c r="L25" s="12">
        <f>+J25-K25</f>
        <v>-36750000</v>
      </c>
      <c r="M25" s="12"/>
      <c r="N25" s="12"/>
      <c r="O25" s="12"/>
      <c r="P25" s="12">
        <f>+N25-O25</f>
        <v>0</v>
      </c>
      <c r="Q25" s="13"/>
      <c r="R25" s="12">
        <f t="shared" si="6"/>
        <v>6393976</v>
      </c>
      <c r="S25" s="12">
        <f t="shared" si="6"/>
        <v>45252164.329999998</v>
      </c>
      <c r="T25" s="14">
        <f>+R25-S25</f>
        <v>-38858188.329999998</v>
      </c>
      <c r="U25" s="17">
        <f t="shared" si="5"/>
        <v>7.0773121966676129</v>
      </c>
    </row>
    <row r="26" spans="2:21" ht="27.75" customHeight="1">
      <c r="B26" s="18"/>
      <c r="C26" s="10"/>
      <c r="D26" s="10"/>
      <c r="E26" s="22" t="s">
        <v>29</v>
      </c>
      <c r="F26" s="12">
        <v>4833000</v>
      </c>
      <c r="G26" s="12">
        <v>3417904.61</v>
      </c>
      <c r="H26" s="12">
        <f>+F26-G26</f>
        <v>1415095.3900000001</v>
      </c>
      <c r="I26" s="13"/>
      <c r="J26" s="12"/>
      <c r="K26" s="12"/>
      <c r="L26" s="12">
        <f>+J26-K26</f>
        <v>0</v>
      </c>
      <c r="M26" s="12"/>
      <c r="N26" s="12"/>
      <c r="O26" s="12">
        <v>309969.21000000002</v>
      </c>
      <c r="P26" s="12">
        <f>+N26-O26</f>
        <v>-309969.21000000002</v>
      </c>
      <c r="Q26" s="13"/>
      <c r="R26" s="12">
        <f t="shared" si="6"/>
        <v>4833000</v>
      </c>
      <c r="S26" s="12">
        <f t="shared" si="6"/>
        <v>3727873.82</v>
      </c>
      <c r="T26" s="14">
        <f>+R26-S26</f>
        <v>1105126.1800000002</v>
      </c>
      <c r="U26" s="17">
        <f t="shared" si="5"/>
        <v>0.77133743430581414</v>
      </c>
    </row>
    <row r="27" spans="2:21" ht="24.95" customHeight="1">
      <c r="B27" s="18"/>
      <c r="C27" s="10"/>
      <c r="D27" s="10"/>
      <c r="E27" s="22"/>
      <c r="F27" s="12"/>
      <c r="G27" s="12"/>
      <c r="H27" s="12"/>
      <c r="I27" s="13"/>
      <c r="J27" s="12"/>
      <c r="K27" s="12"/>
      <c r="L27" s="12"/>
      <c r="M27" s="12"/>
      <c r="N27" s="12"/>
      <c r="O27" s="12"/>
      <c r="P27" s="12"/>
      <c r="Q27" s="13"/>
      <c r="R27" s="12"/>
      <c r="S27" s="12"/>
      <c r="T27" s="14"/>
      <c r="U27" s="17"/>
    </row>
    <row r="28" spans="2:21" ht="24.95" customHeight="1">
      <c r="B28" s="18"/>
      <c r="C28" s="20" t="s">
        <v>30</v>
      </c>
      <c r="D28" s="20"/>
      <c r="E28" s="10"/>
      <c r="F28" s="12"/>
      <c r="G28" s="12"/>
      <c r="H28" s="12"/>
      <c r="I28" s="13"/>
      <c r="J28" s="12"/>
      <c r="K28" s="12"/>
      <c r="L28" s="12"/>
      <c r="M28" s="12"/>
      <c r="N28" s="12"/>
      <c r="O28" s="12"/>
      <c r="P28" s="12"/>
      <c r="Q28" s="13"/>
      <c r="R28" s="12"/>
      <c r="S28" s="12"/>
      <c r="T28" s="14"/>
      <c r="U28" s="17"/>
    </row>
    <row r="29" spans="2:21" ht="24.95" customHeight="1">
      <c r="B29" s="18"/>
      <c r="C29" s="20"/>
      <c r="D29" s="20"/>
      <c r="E29" s="10" t="s">
        <v>31</v>
      </c>
      <c r="F29" s="23">
        <v>25066000</v>
      </c>
      <c r="G29" s="23">
        <v>32142566.120000001</v>
      </c>
      <c r="H29" s="12">
        <f>+F29-G29</f>
        <v>-7076566.120000001</v>
      </c>
      <c r="I29" s="13"/>
      <c r="J29" s="23">
        <v>16473684.75</v>
      </c>
      <c r="K29" s="23">
        <v>30227505.100000001</v>
      </c>
      <c r="L29" s="12">
        <f>+J29-K29</f>
        <v>-13753820.350000001</v>
      </c>
      <c r="M29" s="12"/>
      <c r="N29" s="23"/>
      <c r="O29" s="23">
        <v>50000</v>
      </c>
      <c r="P29" s="12">
        <f>+N29-O29</f>
        <v>-50000</v>
      </c>
      <c r="Q29" s="13"/>
      <c r="R29" s="12">
        <f t="shared" ref="R29:S32" si="7">+F29+J29+N29</f>
        <v>41539684.75</v>
      </c>
      <c r="S29" s="12">
        <f t="shared" si="7"/>
        <v>62420071.219999999</v>
      </c>
      <c r="T29" s="14">
        <f>+R29-S29</f>
        <v>-20880386.469999999</v>
      </c>
      <c r="U29" s="17">
        <f t="shared" si="5"/>
        <v>1.5026611683662332</v>
      </c>
    </row>
    <row r="30" spans="2:21" ht="28.5" customHeight="1">
      <c r="B30" s="18"/>
      <c r="C30" s="10"/>
      <c r="D30" s="10"/>
      <c r="E30" s="22" t="s">
        <v>32</v>
      </c>
      <c r="F30" s="12">
        <v>62441381</v>
      </c>
      <c r="G30" s="12">
        <v>90712754.859999999</v>
      </c>
      <c r="H30" s="12">
        <f>+F30-G30</f>
        <v>-28271373.859999999</v>
      </c>
      <c r="I30" s="13"/>
      <c r="J30" s="12"/>
      <c r="K30" s="12"/>
      <c r="L30" s="12">
        <f>+J30-K30</f>
        <v>0</v>
      </c>
      <c r="M30" s="12"/>
      <c r="N30" s="12"/>
      <c r="O30" s="12"/>
      <c r="P30" s="12">
        <f>+N30-O30</f>
        <v>0</v>
      </c>
      <c r="Q30" s="13"/>
      <c r="R30" s="12">
        <f t="shared" si="7"/>
        <v>62441381</v>
      </c>
      <c r="S30" s="12">
        <f t="shared" si="7"/>
        <v>90712754.859999999</v>
      </c>
      <c r="T30" s="14">
        <f>+R30-S30</f>
        <v>-28271373.859999999</v>
      </c>
      <c r="U30" s="17">
        <f t="shared" si="5"/>
        <v>1.4527666333965292</v>
      </c>
    </row>
    <row r="31" spans="2:21" ht="28.5" customHeight="1">
      <c r="B31" s="18"/>
      <c r="C31" s="10"/>
      <c r="D31" s="10"/>
      <c r="E31" s="22" t="s">
        <v>33</v>
      </c>
      <c r="F31" s="12">
        <v>22139000</v>
      </c>
      <c r="G31" s="12">
        <v>44715959.409999996</v>
      </c>
      <c r="H31" s="12">
        <f>+F31-G31</f>
        <v>-22576959.409999996</v>
      </c>
      <c r="I31" s="13"/>
      <c r="J31" s="12"/>
      <c r="K31" s="12"/>
      <c r="L31" s="12">
        <f>+J31-K31</f>
        <v>0</v>
      </c>
      <c r="M31" s="12"/>
      <c r="N31" s="12"/>
      <c r="O31" s="12"/>
      <c r="P31" s="12">
        <f>+N31-O31</f>
        <v>0</v>
      </c>
      <c r="Q31" s="13"/>
      <c r="R31" s="12">
        <f t="shared" si="7"/>
        <v>22139000</v>
      </c>
      <c r="S31" s="12">
        <f t="shared" si="7"/>
        <v>44715959.409999996</v>
      </c>
      <c r="T31" s="14">
        <f>+R31-S31</f>
        <v>-22576959.409999996</v>
      </c>
      <c r="U31" s="17">
        <f t="shared" si="5"/>
        <v>2.019782258006233</v>
      </c>
    </row>
    <row r="32" spans="2:21" ht="28.5" customHeight="1">
      <c r="B32" s="18"/>
      <c r="C32" s="10"/>
      <c r="D32" s="10"/>
      <c r="E32" s="22" t="s">
        <v>34</v>
      </c>
      <c r="F32" s="12">
        <v>5937000</v>
      </c>
      <c r="G32" s="12">
        <v>9258531.4000000004</v>
      </c>
      <c r="H32" s="12">
        <f>+F32-G32</f>
        <v>-3321531.4000000004</v>
      </c>
      <c r="I32" s="13"/>
      <c r="J32" s="12"/>
      <c r="K32" s="12"/>
      <c r="L32" s="12">
        <f>+J32-K32</f>
        <v>0</v>
      </c>
      <c r="M32" s="12"/>
      <c r="N32" s="12"/>
      <c r="O32" s="12"/>
      <c r="P32" s="12">
        <f>+N32-O32</f>
        <v>0</v>
      </c>
      <c r="Q32" s="13"/>
      <c r="R32" s="12">
        <f t="shared" si="7"/>
        <v>5937000</v>
      </c>
      <c r="S32" s="12">
        <f t="shared" si="7"/>
        <v>9258531.4000000004</v>
      </c>
      <c r="T32" s="14">
        <f>+R32-S32</f>
        <v>-3321531.4000000004</v>
      </c>
      <c r="U32" s="17">
        <f t="shared" si="5"/>
        <v>1.5594629274044132</v>
      </c>
    </row>
    <row r="33" spans="2:23" ht="27.75" customHeight="1">
      <c r="B33" s="18"/>
      <c r="C33" s="10"/>
      <c r="D33" s="10"/>
      <c r="E33" s="22"/>
      <c r="F33" s="12"/>
      <c r="G33" s="12"/>
      <c r="H33" s="12"/>
      <c r="I33" s="13"/>
      <c r="J33" s="12"/>
      <c r="K33" s="12"/>
      <c r="L33" s="12"/>
      <c r="M33" s="12"/>
      <c r="N33" s="12"/>
      <c r="O33" s="12"/>
      <c r="P33" s="12"/>
      <c r="Q33" s="13"/>
      <c r="R33" s="12"/>
      <c r="S33" s="12"/>
      <c r="T33" s="14"/>
      <c r="U33" s="17"/>
    </row>
    <row r="34" spans="2:23" ht="24.95" customHeight="1">
      <c r="B34" s="18"/>
      <c r="C34" s="24" t="s">
        <v>35</v>
      </c>
      <c r="D34" s="10"/>
      <c r="E34" s="22"/>
      <c r="F34" s="12"/>
      <c r="G34" s="12"/>
      <c r="H34" s="12"/>
      <c r="I34" s="13"/>
      <c r="J34" s="12"/>
      <c r="K34" s="12"/>
      <c r="L34" s="12"/>
      <c r="M34" s="12"/>
      <c r="N34" s="12"/>
      <c r="O34" s="12"/>
      <c r="P34" s="12"/>
      <c r="Q34" s="13"/>
      <c r="R34" s="12"/>
      <c r="S34" s="12"/>
      <c r="T34" s="14"/>
      <c r="U34" s="17"/>
    </row>
    <row r="35" spans="2:23" ht="24.95" customHeight="1">
      <c r="B35" s="18"/>
      <c r="C35" s="10"/>
      <c r="D35" s="25" t="s">
        <v>36</v>
      </c>
      <c r="E35" s="26"/>
      <c r="F35" s="12">
        <v>27437300</v>
      </c>
      <c r="G35" s="12">
        <v>34502583.650000006</v>
      </c>
      <c r="H35" s="12">
        <f>+F35-G35</f>
        <v>-7065283.650000006</v>
      </c>
      <c r="I35" s="13"/>
      <c r="J35" s="12"/>
      <c r="K35" s="12"/>
      <c r="L35" s="12">
        <f>+J35-K35</f>
        <v>0</v>
      </c>
      <c r="M35" s="12"/>
      <c r="N35" s="12">
        <v>1545088</v>
      </c>
      <c r="O35" s="12"/>
      <c r="P35" s="12">
        <f>+N35-O35</f>
        <v>1545088</v>
      </c>
      <c r="Q35" s="13"/>
      <c r="R35" s="12">
        <f t="shared" ref="R35:S46" si="8">+F35+J35+N35</f>
        <v>28982388</v>
      </c>
      <c r="S35" s="12">
        <f t="shared" si="8"/>
        <v>34502583.650000006</v>
      </c>
      <c r="T35" s="14">
        <f>+R35-S35</f>
        <v>-5520195.650000006</v>
      </c>
      <c r="U35" s="17">
        <f t="shared" si="5"/>
        <v>1.1904672468673045</v>
      </c>
    </row>
    <row r="36" spans="2:23" ht="24.95" customHeight="1">
      <c r="B36" s="18"/>
      <c r="C36" s="10"/>
      <c r="D36" s="27" t="s">
        <v>37</v>
      </c>
      <c r="E36" s="22"/>
      <c r="F36" s="12">
        <v>83735000</v>
      </c>
      <c r="G36" s="12">
        <v>85056493.530000001</v>
      </c>
      <c r="H36" s="12">
        <f>+F36-G36</f>
        <v>-1321493.5300000012</v>
      </c>
      <c r="I36" s="13"/>
      <c r="J36" s="12">
        <v>6234786.8099999996</v>
      </c>
      <c r="K36" s="12">
        <v>7394860.54</v>
      </c>
      <c r="L36" s="12">
        <f>+J36-K36</f>
        <v>-1160073.7300000004</v>
      </c>
      <c r="M36" s="12"/>
      <c r="N36" s="12">
        <v>509505</v>
      </c>
      <c r="O36" s="12">
        <v>498045.11</v>
      </c>
      <c r="P36" s="12">
        <f>+N36-O36</f>
        <v>11459.890000000014</v>
      </c>
      <c r="Q36" s="13"/>
      <c r="R36" s="12">
        <f t="shared" si="8"/>
        <v>90479291.810000002</v>
      </c>
      <c r="S36" s="12">
        <f t="shared" si="8"/>
        <v>92949399.180000007</v>
      </c>
      <c r="T36" s="14">
        <f>+R36-S36</f>
        <v>-2470107.3700000048</v>
      </c>
      <c r="U36" s="17">
        <f t="shared" si="5"/>
        <v>1.0273002509257814</v>
      </c>
    </row>
    <row r="37" spans="2:23" ht="24.95" customHeight="1">
      <c r="B37" s="18"/>
      <c r="C37" s="10"/>
      <c r="D37" s="28" t="s">
        <v>38</v>
      </c>
      <c r="E37" s="22"/>
      <c r="F37" s="12">
        <v>96210000</v>
      </c>
      <c r="G37" s="12">
        <v>46192360.460000008</v>
      </c>
      <c r="H37" s="12">
        <f>+F37-G37</f>
        <v>50017639.539999992</v>
      </c>
      <c r="I37" s="13"/>
      <c r="J37" s="12"/>
      <c r="K37" s="12"/>
      <c r="L37" s="12">
        <f>+J37-K37</f>
        <v>0</v>
      </c>
      <c r="M37" s="12"/>
      <c r="N37" s="12">
        <v>904758</v>
      </c>
      <c r="O37" s="12">
        <v>1595129.6899999997</v>
      </c>
      <c r="P37" s="12">
        <f>+N37-O37</f>
        <v>-690371.68999999971</v>
      </c>
      <c r="Q37" s="13"/>
      <c r="R37" s="12">
        <f t="shared" si="8"/>
        <v>97114758</v>
      </c>
      <c r="S37" s="12">
        <f t="shared" si="8"/>
        <v>47787490.150000006</v>
      </c>
      <c r="T37" s="14">
        <f>+R37-S37</f>
        <v>49327267.849999994</v>
      </c>
      <c r="U37" s="17">
        <f t="shared" si="5"/>
        <v>0.49207238049236562</v>
      </c>
    </row>
    <row r="38" spans="2:23" ht="24.95" customHeight="1">
      <c r="B38" s="18"/>
      <c r="C38" s="10"/>
      <c r="D38" s="28" t="s">
        <v>39</v>
      </c>
      <c r="E38" s="22"/>
      <c r="F38" s="12">
        <v>116236308.90000001</v>
      </c>
      <c r="G38" s="12">
        <v>93528797.75</v>
      </c>
      <c r="H38" s="12">
        <f>+F38-G38</f>
        <v>22707511.150000006</v>
      </c>
      <c r="I38" s="13"/>
      <c r="J38" s="12"/>
      <c r="K38" s="12"/>
      <c r="L38" s="12">
        <f>+J38-K38</f>
        <v>0</v>
      </c>
      <c r="M38" s="12"/>
      <c r="N38" s="12">
        <v>548855</v>
      </c>
      <c r="O38" s="12">
        <v>1435359.84</v>
      </c>
      <c r="P38" s="12">
        <f>+N38-O38</f>
        <v>-886504.84000000008</v>
      </c>
      <c r="Q38" s="13"/>
      <c r="R38" s="12">
        <f t="shared" si="8"/>
        <v>116785163.90000001</v>
      </c>
      <c r="S38" s="12">
        <f t="shared" si="8"/>
        <v>94964157.590000004</v>
      </c>
      <c r="T38" s="14">
        <f>+R38-S38</f>
        <v>21821006.310000002</v>
      </c>
      <c r="U38" s="17">
        <f t="shared" si="5"/>
        <v>0.81315258221768016</v>
      </c>
    </row>
    <row r="39" spans="2:23" ht="24.95" customHeight="1">
      <c r="B39" s="18"/>
      <c r="C39" s="10"/>
      <c r="D39" s="28" t="s">
        <v>40</v>
      </c>
      <c r="E39" s="22"/>
      <c r="F39" s="12">
        <v>83929000</v>
      </c>
      <c r="G39" s="12">
        <v>86059526.689999998</v>
      </c>
      <c r="H39" s="12">
        <f t="shared" ref="H39:H44" si="9">+F39-G39</f>
        <v>-2130526.6899999976</v>
      </c>
      <c r="I39" s="13"/>
      <c r="J39" s="12"/>
      <c r="K39" s="12"/>
      <c r="L39" s="12">
        <f t="shared" ref="L39:L44" si="10">+J39-K39</f>
        <v>0</v>
      </c>
      <c r="M39" s="12"/>
      <c r="N39" s="12"/>
      <c r="O39" s="12"/>
      <c r="P39" s="12">
        <f t="shared" ref="P39:P44" si="11">+N39-O39</f>
        <v>0</v>
      </c>
      <c r="Q39" s="13"/>
      <c r="R39" s="12">
        <f t="shared" si="8"/>
        <v>83929000</v>
      </c>
      <c r="S39" s="12">
        <f t="shared" si="8"/>
        <v>86059526.689999998</v>
      </c>
      <c r="T39" s="14">
        <f t="shared" ref="T39:T46" si="12">+R39-S39</f>
        <v>-2130526.6899999976</v>
      </c>
      <c r="U39" s="17">
        <f t="shared" si="5"/>
        <v>1.0253848692347103</v>
      </c>
    </row>
    <row r="40" spans="2:23" ht="24.95" customHeight="1">
      <c r="B40" s="18"/>
      <c r="C40" s="10"/>
      <c r="D40" s="28" t="s">
        <v>41</v>
      </c>
      <c r="E40" s="22"/>
      <c r="F40" s="12">
        <v>19481000</v>
      </c>
      <c r="G40" s="12">
        <v>26628695.289999999</v>
      </c>
      <c r="H40" s="12">
        <f t="shared" si="9"/>
        <v>-7147695.2899999991</v>
      </c>
      <c r="I40" s="13"/>
      <c r="J40" s="12"/>
      <c r="K40" s="12"/>
      <c r="L40" s="12">
        <f t="shared" si="10"/>
        <v>0</v>
      </c>
      <c r="M40" s="12"/>
      <c r="N40" s="12">
        <v>573933</v>
      </c>
      <c r="O40" s="12">
        <v>439592.03</v>
      </c>
      <c r="P40" s="12">
        <f t="shared" si="11"/>
        <v>134340.96999999997</v>
      </c>
      <c r="Q40" s="13"/>
      <c r="R40" s="12">
        <f t="shared" si="8"/>
        <v>20054933</v>
      </c>
      <c r="S40" s="12">
        <f t="shared" si="8"/>
        <v>27068287.32</v>
      </c>
      <c r="T40" s="14">
        <f t="shared" si="12"/>
        <v>-7013354.3200000003</v>
      </c>
      <c r="U40" s="17">
        <f t="shared" si="5"/>
        <v>1.3497071927390634</v>
      </c>
    </row>
    <row r="41" spans="2:23" ht="24.95" customHeight="1">
      <c r="B41" s="18"/>
      <c r="C41" s="10"/>
      <c r="D41" s="28" t="s">
        <v>42</v>
      </c>
      <c r="E41" s="22"/>
      <c r="F41" s="12">
        <v>37385000</v>
      </c>
      <c r="G41" s="12">
        <v>90087486.019999996</v>
      </c>
      <c r="H41" s="12">
        <f t="shared" si="9"/>
        <v>-52702486.019999996</v>
      </c>
      <c r="I41" s="13"/>
      <c r="J41" s="12"/>
      <c r="K41" s="12"/>
      <c r="L41" s="12">
        <f t="shared" si="10"/>
        <v>0</v>
      </c>
      <c r="M41" s="12"/>
      <c r="N41" s="12">
        <v>402938</v>
      </c>
      <c r="O41" s="12">
        <v>2067676.03</v>
      </c>
      <c r="P41" s="12">
        <f t="shared" si="11"/>
        <v>-1664738.03</v>
      </c>
      <c r="Q41" s="13"/>
      <c r="R41" s="12">
        <f t="shared" si="8"/>
        <v>37787938</v>
      </c>
      <c r="S41" s="12">
        <f t="shared" si="8"/>
        <v>92155162.049999997</v>
      </c>
      <c r="T41" s="14">
        <f t="shared" si="12"/>
        <v>-54367224.049999997</v>
      </c>
      <c r="U41" s="17">
        <f t="shared" si="5"/>
        <v>2.4387454549650207</v>
      </c>
    </row>
    <row r="42" spans="2:23" ht="24.95" customHeight="1">
      <c r="B42" s="18"/>
      <c r="C42" s="10"/>
      <c r="D42" s="25" t="s">
        <v>43</v>
      </c>
      <c r="E42" s="22"/>
      <c r="F42" s="12">
        <v>36593000</v>
      </c>
      <c r="G42" s="12">
        <v>31994486.890000001</v>
      </c>
      <c r="H42" s="12">
        <f t="shared" si="9"/>
        <v>4598513.1099999994</v>
      </c>
      <c r="I42" s="13">
        <v>2208000</v>
      </c>
      <c r="J42" s="12"/>
      <c r="K42" s="12"/>
      <c r="L42" s="12">
        <f t="shared" si="10"/>
        <v>0</v>
      </c>
      <c r="M42" s="12"/>
      <c r="N42" s="12">
        <v>418007</v>
      </c>
      <c r="O42" s="12">
        <v>1790663.85</v>
      </c>
      <c r="P42" s="12">
        <f t="shared" si="11"/>
        <v>-1372656.85</v>
      </c>
      <c r="Q42" s="13"/>
      <c r="R42" s="12">
        <f t="shared" si="8"/>
        <v>37011007</v>
      </c>
      <c r="S42" s="12">
        <f t="shared" si="8"/>
        <v>33785150.740000002</v>
      </c>
      <c r="T42" s="14">
        <f t="shared" si="12"/>
        <v>3225856.2599999979</v>
      </c>
      <c r="U42" s="17">
        <f t="shared" si="5"/>
        <v>0.91284062441208369</v>
      </c>
    </row>
    <row r="43" spans="2:23" ht="24.95" customHeight="1">
      <c r="B43" s="18"/>
      <c r="C43" s="10"/>
      <c r="D43" s="27" t="s">
        <v>44</v>
      </c>
      <c r="E43" s="22"/>
      <c r="F43" s="12">
        <v>162114000</v>
      </c>
      <c r="G43" s="12">
        <v>42438531.619999997</v>
      </c>
      <c r="H43" s="12">
        <f t="shared" si="9"/>
        <v>119675468.38</v>
      </c>
      <c r="I43" s="13"/>
      <c r="J43" s="12"/>
      <c r="K43" s="12"/>
      <c r="L43" s="12">
        <f t="shared" si="10"/>
        <v>0</v>
      </c>
      <c r="M43" s="12"/>
      <c r="N43" s="12"/>
      <c r="O43" s="12"/>
      <c r="P43" s="12">
        <f t="shared" si="11"/>
        <v>0</v>
      </c>
      <c r="Q43" s="13"/>
      <c r="R43" s="12">
        <f t="shared" si="8"/>
        <v>162114000</v>
      </c>
      <c r="S43" s="12">
        <f t="shared" si="8"/>
        <v>42438531.619999997</v>
      </c>
      <c r="T43" s="14">
        <f t="shared" si="12"/>
        <v>119675468.38</v>
      </c>
      <c r="U43" s="17">
        <f t="shared" si="5"/>
        <v>0.26178202758552621</v>
      </c>
    </row>
    <row r="44" spans="2:23" ht="24.95" customHeight="1">
      <c r="B44" s="18"/>
      <c r="C44" s="10"/>
      <c r="D44" s="28" t="s">
        <v>45</v>
      </c>
      <c r="E44" s="22"/>
      <c r="F44" s="12">
        <v>44119000</v>
      </c>
      <c r="G44" s="12">
        <f>21231784.08+74941.74</f>
        <v>21306725.819999997</v>
      </c>
      <c r="H44" s="12">
        <f t="shared" si="9"/>
        <v>22812274.180000003</v>
      </c>
      <c r="I44" s="13"/>
      <c r="J44" s="12"/>
      <c r="K44" s="12"/>
      <c r="L44" s="12">
        <f t="shared" si="10"/>
        <v>0</v>
      </c>
      <c r="M44" s="12"/>
      <c r="N44" s="12"/>
      <c r="O44" s="12">
        <v>7666597.79</v>
      </c>
      <c r="P44" s="12">
        <f t="shared" si="11"/>
        <v>-7666597.79</v>
      </c>
      <c r="Q44" s="13"/>
      <c r="R44" s="12">
        <f t="shared" si="8"/>
        <v>44119000</v>
      </c>
      <c r="S44" s="12">
        <f t="shared" si="8"/>
        <v>28973323.609999996</v>
      </c>
      <c r="T44" s="14">
        <f t="shared" si="12"/>
        <v>15145676.390000004</v>
      </c>
      <c r="U44" s="17">
        <f t="shared" si="5"/>
        <v>0.65670852943176394</v>
      </c>
    </row>
    <row r="45" spans="2:23" ht="24.95" customHeight="1">
      <c r="B45" s="18"/>
      <c r="C45" s="10"/>
      <c r="D45" s="29" t="s">
        <v>46</v>
      </c>
      <c r="E45" s="22"/>
      <c r="F45" s="12">
        <v>52976000</v>
      </c>
      <c r="G45" s="12">
        <v>66521057.799999997</v>
      </c>
      <c r="H45" s="12">
        <f>+F45-G45</f>
        <v>-13545057.799999997</v>
      </c>
      <c r="I45" s="13"/>
      <c r="J45" s="12"/>
      <c r="K45" s="12"/>
      <c r="L45" s="12">
        <f>+J45-K45</f>
        <v>0</v>
      </c>
      <c r="M45" s="12"/>
      <c r="N45" s="12"/>
      <c r="O45" s="12">
        <v>729627.16</v>
      </c>
      <c r="P45" s="12">
        <f>+N45-O45</f>
        <v>-729627.16</v>
      </c>
      <c r="Q45" s="13"/>
      <c r="R45" s="12">
        <f>+F45+J45+N45</f>
        <v>52976000</v>
      </c>
      <c r="S45" s="12">
        <f t="shared" si="8"/>
        <v>67250684.959999993</v>
      </c>
      <c r="T45" s="14">
        <f t="shared" si="12"/>
        <v>-14274684.959999993</v>
      </c>
      <c r="U45" s="17">
        <f t="shared" si="5"/>
        <v>1.2694556961643007</v>
      </c>
      <c r="W45" s="30"/>
    </row>
    <row r="46" spans="2:23" ht="24.95" customHeight="1">
      <c r="B46" s="18"/>
      <c r="C46" s="10"/>
      <c r="D46" s="25" t="s">
        <v>47</v>
      </c>
      <c r="E46" s="22"/>
      <c r="F46" s="12">
        <v>72662500</v>
      </c>
      <c r="G46" s="12">
        <v>18445232.23</v>
      </c>
      <c r="H46" s="12">
        <f>+F46-G46</f>
        <v>54217267.769999996</v>
      </c>
      <c r="I46" s="13"/>
      <c r="J46" s="12"/>
      <c r="K46" s="12"/>
      <c r="L46" s="12">
        <f>+J46-K46</f>
        <v>0</v>
      </c>
      <c r="M46" s="12"/>
      <c r="N46" s="12">
        <v>120225</v>
      </c>
      <c r="O46" s="12">
        <v>0</v>
      </c>
      <c r="P46" s="12">
        <f>+N46-O46</f>
        <v>120225</v>
      </c>
      <c r="Q46" s="13"/>
      <c r="R46" s="12">
        <f>+F46+J46+N46</f>
        <v>72782725</v>
      </c>
      <c r="S46" s="12">
        <f t="shared" si="8"/>
        <v>18445232.23</v>
      </c>
      <c r="T46" s="14">
        <f t="shared" si="12"/>
        <v>54337492.769999996</v>
      </c>
      <c r="U46" s="17">
        <f t="shared" si="5"/>
        <v>0.253428711689484</v>
      </c>
    </row>
    <row r="47" spans="2:23" ht="27.75" customHeight="1">
      <c r="B47" s="18"/>
      <c r="C47" s="10"/>
      <c r="D47" s="10"/>
      <c r="E47" s="22"/>
      <c r="F47" s="12"/>
      <c r="G47" s="12"/>
      <c r="H47" s="12"/>
      <c r="I47" s="13"/>
      <c r="J47" s="12"/>
      <c r="K47" s="12"/>
      <c r="L47" s="12"/>
      <c r="M47" s="12"/>
      <c r="N47" s="12"/>
      <c r="O47" s="12"/>
      <c r="P47" s="12"/>
      <c r="Q47" s="13"/>
      <c r="R47" s="12"/>
      <c r="S47" s="12"/>
      <c r="T47" s="14"/>
      <c r="U47" s="17"/>
    </row>
    <row r="48" spans="2:23" ht="24.95" customHeight="1">
      <c r="B48" s="18"/>
      <c r="C48" s="24" t="s">
        <v>48</v>
      </c>
      <c r="D48" s="10"/>
      <c r="E48" s="22"/>
      <c r="F48" s="12"/>
      <c r="G48" s="12"/>
      <c r="H48" s="12"/>
      <c r="I48" s="13"/>
      <c r="J48" s="12"/>
      <c r="K48" s="12"/>
      <c r="L48" s="12"/>
      <c r="M48" s="12"/>
      <c r="N48" s="12"/>
      <c r="O48" s="12"/>
      <c r="P48" s="12"/>
      <c r="Q48" s="13"/>
      <c r="R48" s="12"/>
      <c r="S48" s="12"/>
      <c r="T48" s="14"/>
      <c r="U48" s="17"/>
    </row>
    <row r="49" spans="2:21" ht="24.95" customHeight="1">
      <c r="B49" s="18"/>
      <c r="C49" s="10"/>
      <c r="D49" s="10"/>
      <c r="E49" s="10" t="s">
        <v>49</v>
      </c>
      <c r="F49" s="12">
        <v>19402000</v>
      </c>
      <c r="G49" s="12">
        <v>20140259.920000002</v>
      </c>
      <c r="H49" s="12">
        <f>+F49-G49</f>
        <v>-738259.92000000179</v>
      </c>
      <c r="I49" s="13"/>
      <c r="J49" s="12"/>
      <c r="K49" s="12"/>
      <c r="L49" s="12">
        <f>+J49-K49</f>
        <v>0</v>
      </c>
      <c r="M49" s="12"/>
      <c r="N49" s="12"/>
      <c r="O49" s="12"/>
      <c r="P49" s="12">
        <f>+N49-O49</f>
        <v>0</v>
      </c>
      <c r="Q49" s="13"/>
      <c r="R49" s="12">
        <f>+F49+J49+N49</f>
        <v>19402000</v>
      </c>
      <c r="S49" s="12">
        <f>+G49+K49+O49</f>
        <v>20140259.920000002</v>
      </c>
      <c r="T49" s="14">
        <f>+R49-S49</f>
        <v>-738259.92000000179</v>
      </c>
      <c r="U49" s="17">
        <f t="shared" si="5"/>
        <v>1.0380507122977014</v>
      </c>
    </row>
    <row r="50" spans="2:21" ht="24.95" customHeight="1">
      <c r="B50" s="18"/>
      <c r="C50" s="10"/>
      <c r="D50" s="10"/>
      <c r="E50" s="10" t="s">
        <v>50</v>
      </c>
      <c r="F50" s="12">
        <v>37037000</v>
      </c>
      <c r="G50" s="12">
        <v>20455204.239999998</v>
      </c>
      <c r="H50" s="12">
        <f>+F50-G50</f>
        <v>16581795.760000002</v>
      </c>
      <c r="I50" s="13"/>
      <c r="J50" s="12"/>
      <c r="K50" s="12"/>
      <c r="L50" s="12">
        <f>+J50-K50</f>
        <v>0</v>
      </c>
      <c r="M50" s="12"/>
      <c r="N50" s="12">
        <v>349476</v>
      </c>
      <c r="O50" s="12">
        <v>222060.55</v>
      </c>
      <c r="P50" s="12">
        <f>+N50-O50</f>
        <v>127415.45000000001</v>
      </c>
      <c r="Q50" s="13"/>
      <c r="R50" s="12">
        <f>+F50+J50+N50</f>
        <v>37386476</v>
      </c>
      <c r="S50" s="12">
        <f>+G50+K50+O50</f>
        <v>20677264.789999999</v>
      </c>
      <c r="T50" s="14">
        <f>+R50-S50</f>
        <v>16709211.210000001</v>
      </c>
      <c r="U50" s="17">
        <f t="shared" si="5"/>
        <v>0.55306803428063134</v>
      </c>
    </row>
    <row r="51" spans="2:21" ht="27.75" customHeight="1">
      <c r="B51" s="18"/>
      <c r="C51" s="10"/>
      <c r="D51" s="10"/>
      <c r="E51" s="31" t="s">
        <v>51</v>
      </c>
      <c r="F51" s="32">
        <f t="shared" ref="F51:T51" si="13">SUM(F13:F48)</f>
        <v>1163122778.4400001</v>
      </c>
      <c r="G51" s="32">
        <f t="shared" si="13"/>
        <v>1148970110.47</v>
      </c>
      <c r="H51" s="32">
        <f t="shared" si="13"/>
        <v>14152667.969999999</v>
      </c>
      <c r="I51" s="32">
        <f t="shared" si="13"/>
        <v>2208000</v>
      </c>
      <c r="J51" s="32">
        <f>SUM(J13:J48)</f>
        <v>37708471.560000002</v>
      </c>
      <c r="K51" s="32">
        <f>SUM(K13:K48)</f>
        <v>89372365.640000001</v>
      </c>
      <c r="L51" s="32">
        <f>SUM(L13:L48)</f>
        <v>-51663894.079999998</v>
      </c>
      <c r="M51" s="32">
        <f t="shared" si="13"/>
        <v>0</v>
      </c>
      <c r="N51" s="32">
        <f>SUM(N13:N48)</f>
        <v>67997500</v>
      </c>
      <c r="O51" s="32">
        <f>SUM(O13:O48)</f>
        <v>166844191.81999999</v>
      </c>
      <c r="P51" s="32">
        <f>SUM(P13:P48)</f>
        <v>-98846691.819999978</v>
      </c>
      <c r="Q51" s="32">
        <f t="shared" si="13"/>
        <v>0</v>
      </c>
      <c r="R51" s="32">
        <f t="shared" si="13"/>
        <v>1268828750</v>
      </c>
      <c r="S51" s="32">
        <f t="shared" si="13"/>
        <v>1405186667.9299996</v>
      </c>
      <c r="T51" s="32">
        <f t="shared" si="13"/>
        <v>-136357917.92999989</v>
      </c>
      <c r="U51" s="17">
        <f t="shared" si="5"/>
        <v>1.1074675506288769</v>
      </c>
    </row>
    <row r="52" spans="2:21" ht="27.75" customHeight="1">
      <c r="B52" s="18"/>
      <c r="C52" s="10"/>
      <c r="D52" s="10"/>
      <c r="E52" s="31"/>
      <c r="F52" s="32"/>
      <c r="G52" s="32"/>
      <c r="H52" s="32"/>
      <c r="I52" s="33"/>
      <c r="J52" s="32"/>
      <c r="K52" s="32"/>
      <c r="L52" s="32"/>
      <c r="M52" s="32"/>
      <c r="N52" s="32"/>
      <c r="O52" s="32"/>
      <c r="P52" s="32"/>
      <c r="Q52" s="33"/>
      <c r="R52" s="32"/>
      <c r="S52" s="32"/>
      <c r="T52" s="34"/>
      <c r="U52" s="17"/>
    </row>
    <row r="53" spans="2:21" ht="24.95" customHeight="1">
      <c r="B53" s="18"/>
      <c r="C53" s="24" t="s">
        <v>52</v>
      </c>
      <c r="D53" s="10"/>
      <c r="E53" s="22"/>
      <c r="F53" s="12">
        <f>SUM(F55:F80)</f>
        <v>388598091.52999997</v>
      </c>
      <c r="G53" s="12">
        <f t="shared" ref="G53:T53" si="14">SUM(G55:G80)</f>
        <v>362909000.47000003</v>
      </c>
      <c r="H53" s="12">
        <f t="shared" si="14"/>
        <v>25689091.059999991</v>
      </c>
      <c r="I53" s="12">
        <f t="shared" si="14"/>
        <v>0</v>
      </c>
      <c r="J53" s="12">
        <f>SUM(J55:J80)</f>
        <v>34403301</v>
      </c>
      <c r="K53" s="12">
        <f>SUM(K55:K80)</f>
        <v>44559822.629999995</v>
      </c>
      <c r="L53" s="12">
        <f>SUM(L55:L80)</f>
        <v>-10156521.629999999</v>
      </c>
      <c r="M53" s="12">
        <f t="shared" si="14"/>
        <v>0</v>
      </c>
      <c r="N53" s="12">
        <f>SUM(N55:N80)</f>
        <v>27803970</v>
      </c>
      <c r="O53" s="12">
        <f>SUM(O55:O80)</f>
        <v>29658719.130000003</v>
      </c>
      <c r="P53" s="12">
        <f>SUM(P55:P80)</f>
        <v>-1854749.1300000013</v>
      </c>
      <c r="Q53" s="12">
        <f t="shared" si="14"/>
        <v>0</v>
      </c>
      <c r="R53" s="12">
        <f t="shared" si="14"/>
        <v>450805362.52999997</v>
      </c>
      <c r="S53" s="12">
        <f t="shared" si="14"/>
        <v>437127542.23000002</v>
      </c>
      <c r="T53" s="14">
        <f t="shared" si="14"/>
        <v>13677820.299999999</v>
      </c>
      <c r="U53" s="17">
        <f>+S53/R53</f>
        <v>0.96965914464007796</v>
      </c>
    </row>
    <row r="54" spans="2:21" ht="24.95" customHeight="1">
      <c r="B54" s="18"/>
      <c r="C54" s="20" t="s">
        <v>53</v>
      </c>
      <c r="D54" s="20"/>
      <c r="E54" s="10"/>
      <c r="F54" s="12"/>
      <c r="G54" s="12"/>
      <c r="H54" s="12">
        <f t="shared" ref="H54:H59" si="15">+F54-G54</f>
        <v>0</v>
      </c>
      <c r="I54" s="13"/>
      <c r="J54" s="12"/>
      <c r="K54" s="12"/>
      <c r="L54" s="12">
        <f t="shared" ref="L54:L59" si="16">+J54-K54</f>
        <v>0</v>
      </c>
      <c r="M54" s="12"/>
      <c r="N54" s="12"/>
      <c r="O54" s="12"/>
      <c r="P54" s="12">
        <f t="shared" ref="P54:P59" si="17">+N54-O54</f>
        <v>0</v>
      </c>
      <c r="Q54" s="13"/>
      <c r="R54" s="12"/>
      <c r="S54" s="12"/>
      <c r="T54" s="14"/>
      <c r="U54" s="17"/>
    </row>
    <row r="55" spans="2:21" ht="24.95" customHeight="1">
      <c r="B55" s="18"/>
      <c r="C55" s="20"/>
      <c r="D55" s="20"/>
      <c r="E55" s="10" t="s">
        <v>54</v>
      </c>
      <c r="F55" s="35">
        <v>19566000</v>
      </c>
      <c r="G55" s="36">
        <v>30335326.530000001</v>
      </c>
      <c r="H55" s="12">
        <f t="shared" si="15"/>
        <v>-10769326.530000001</v>
      </c>
      <c r="I55" s="13"/>
      <c r="J55" s="35"/>
      <c r="K55" s="36"/>
      <c r="L55" s="12">
        <f t="shared" si="16"/>
        <v>0</v>
      </c>
      <c r="M55" s="12"/>
      <c r="N55" s="35"/>
      <c r="O55" s="36"/>
      <c r="P55" s="12">
        <f t="shared" si="17"/>
        <v>0</v>
      </c>
      <c r="Q55" s="13"/>
      <c r="R55" s="12">
        <f>+F55+J55+N55</f>
        <v>19566000</v>
      </c>
      <c r="S55" s="12">
        <f t="shared" ref="R55:S59" si="18">+G55+K55+O55</f>
        <v>30335326.530000001</v>
      </c>
      <c r="T55" s="14">
        <f>+R55-S55</f>
        <v>-10769326.530000001</v>
      </c>
      <c r="U55" s="17">
        <f t="shared" si="5"/>
        <v>1.5504102284575285</v>
      </c>
    </row>
    <row r="56" spans="2:21" ht="30" customHeight="1">
      <c r="B56" s="18"/>
      <c r="C56" s="10"/>
      <c r="D56" s="10"/>
      <c r="E56" s="21" t="s">
        <v>55</v>
      </c>
      <c r="F56" s="36">
        <v>40463456</v>
      </c>
      <c r="G56" s="37">
        <v>40485576.509999998</v>
      </c>
      <c r="H56" s="12">
        <f t="shared" si="15"/>
        <v>-22120.509999997914</v>
      </c>
      <c r="I56" s="13"/>
      <c r="J56" s="36"/>
      <c r="K56" s="37"/>
      <c r="L56" s="12">
        <f t="shared" si="16"/>
        <v>0</v>
      </c>
      <c r="M56" s="38"/>
      <c r="N56" s="36">
        <v>498838</v>
      </c>
      <c r="O56" s="37">
        <v>498838</v>
      </c>
      <c r="P56" s="12">
        <f t="shared" si="17"/>
        <v>0</v>
      </c>
      <c r="Q56" s="39"/>
      <c r="R56" s="38">
        <f t="shared" si="18"/>
        <v>40962294</v>
      </c>
      <c r="S56" s="38">
        <f t="shared" si="18"/>
        <v>40984414.509999998</v>
      </c>
      <c r="T56" s="40">
        <f>+R56-S56</f>
        <v>-22120.509999997914</v>
      </c>
      <c r="U56" s="17">
        <f t="shared" si="5"/>
        <v>1.0005400212693165</v>
      </c>
    </row>
    <row r="57" spans="2:21" ht="30" customHeight="1">
      <c r="B57" s="18"/>
      <c r="C57" s="10"/>
      <c r="D57" s="10"/>
      <c r="E57" s="21" t="s">
        <v>56</v>
      </c>
      <c r="F57" s="12">
        <v>39864000</v>
      </c>
      <c r="G57" s="12">
        <v>4400470.38</v>
      </c>
      <c r="H57" s="12">
        <f t="shared" si="15"/>
        <v>35463529.619999997</v>
      </c>
      <c r="I57" s="13"/>
      <c r="J57" s="12"/>
      <c r="K57" s="12"/>
      <c r="L57" s="12">
        <f t="shared" si="16"/>
        <v>0</v>
      </c>
      <c r="M57" s="12"/>
      <c r="N57" s="12"/>
      <c r="O57" s="12"/>
      <c r="P57" s="12">
        <f t="shared" si="17"/>
        <v>0</v>
      </c>
      <c r="Q57" s="13"/>
      <c r="R57" s="12">
        <f t="shared" si="18"/>
        <v>39864000</v>
      </c>
      <c r="S57" s="12">
        <f t="shared" si="18"/>
        <v>4400470.38</v>
      </c>
      <c r="T57" s="14">
        <f>+R57-S57</f>
        <v>35463529.619999997</v>
      </c>
      <c r="U57" s="17">
        <f t="shared" si="5"/>
        <v>0.11038707555689344</v>
      </c>
    </row>
    <row r="58" spans="2:21" ht="24.95" customHeight="1">
      <c r="B58" s="18"/>
      <c r="C58" s="10"/>
      <c r="D58" s="10"/>
      <c r="E58" s="28" t="s">
        <v>57</v>
      </c>
      <c r="F58" s="12">
        <v>1493000</v>
      </c>
      <c r="G58" s="12">
        <v>1628655.64</v>
      </c>
      <c r="H58" s="12">
        <f t="shared" si="15"/>
        <v>-135655.6399999999</v>
      </c>
      <c r="I58" s="13"/>
      <c r="J58" s="12"/>
      <c r="K58" s="12"/>
      <c r="L58" s="12">
        <f t="shared" si="16"/>
        <v>0</v>
      </c>
      <c r="M58" s="12"/>
      <c r="N58" s="12">
        <v>1425000</v>
      </c>
      <c r="O58" s="12">
        <v>1024536.36</v>
      </c>
      <c r="P58" s="12">
        <f t="shared" si="17"/>
        <v>400463.64</v>
      </c>
      <c r="Q58" s="13"/>
      <c r="R58" s="12">
        <f t="shared" si="18"/>
        <v>2918000</v>
      </c>
      <c r="S58" s="12">
        <f t="shared" si="18"/>
        <v>2653192</v>
      </c>
      <c r="T58" s="14">
        <f>+R58-S58</f>
        <v>264808</v>
      </c>
      <c r="U58" s="17">
        <f t="shared" si="5"/>
        <v>0.90925017135023989</v>
      </c>
    </row>
    <row r="59" spans="2:21" ht="29.25" customHeight="1">
      <c r="B59" s="18"/>
      <c r="C59" s="10"/>
      <c r="D59" s="10"/>
      <c r="E59" s="21" t="s">
        <v>58</v>
      </c>
      <c r="F59" s="12">
        <v>2430000</v>
      </c>
      <c r="G59" s="12">
        <v>2531895.79</v>
      </c>
      <c r="H59" s="12">
        <f t="shared" si="15"/>
        <v>-101895.79000000004</v>
      </c>
      <c r="I59" s="13"/>
      <c r="J59" s="12"/>
      <c r="K59" s="12"/>
      <c r="L59" s="12">
        <f t="shared" si="16"/>
        <v>0</v>
      </c>
      <c r="M59" s="12"/>
      <c r="N59" s="12"/>
      <c r="O59" s="12"/>
      <c r="P59" s="12">
        <f t="shared" si="17"/>
        <v>0</v>
      </c>
      <c r="Q59" s="13"/>
      <c r="R59" s="12">
        <f t="shared" si="18"/>
        <v>2430000</v>
      </c>
      <c r="S59" s="12">
        <f t="shared" si="18"/>
        <v>2531895.79</v>
      </c>
      <c r="T59" s="14">
        <f>+R59-S59</f>
        <v>-101895.79000000004</v>
      </c>
      <c r="U59" s="17">
        <f t="shared" si="5"/>
        <v>1.0419324238683128</v>
      </c>
    </row>
    <row r="60" spans="2:21" ht="24.95" customHeight="1">
      <c r="B60" s="18"/>
      <c r="C60" s="10"/>
      <c r="D60" s="10"/>
      <c r="E60" s="21"/>
      <c r="F60" s="12"/>
      <c r="G60" s="12"/>
      <c r="H60" s="12"/>
      <c r="I60" s="13"/>
      <c r="J60" s="12"/>
      <c r="K60" s="12"/>
      <c r="L60" s="12"/>
      <c r="M60" s="12"/>
      <c r="N60" s="12"/>
      <c r="O60" s="12"/>
      <c r="P60" s="12"/>
      <c r="Q60" s="13"/>
      <c r="R60" s="12"/>
      <c r="S60" s="12"/>
      <c r="T60" s="14"/>
      <c r="U60" s="17"/>
    </row>
    <row r="61" spans="2:21" ht="24.95" customHeight="1">
      <c r="B61" s="18"/>
      <c r="C61" s="20" t="s">
        <v>59</v>
      </c>
      <c r="D61" s="20"/>
      <c r="E61" s="10"/>
      <c r="F61" s="12"/>
      <c r="G61" s="12"/>
      <c r="H61" s="12"/>
      <c r="I61" s="13"/>
      <c r="J61" s="12"/>
      <c r="K61" s="12"/>
      <c r="L61" s="12"/>
      <c r="M61" s="12"/>
      <c r="N61" s="12"/>
      <c r="O61" s="12"/>
      <c r="P61" s="12"/>
      <c r="Q61" s="13"/>
      <c r="R61" s="12"/>
      <c r="S61" s="12"/>
      <c r="T61" s="14"/>
      <c r="U61" s="17"/>
    </row>
    <row r="62" spans="2:21" ht="24.95" customHeight="1">
      <c r="B62" s="18"/>
      <c r="C62" s="20"/>
      <c r="D62" s="20"/>
      <c r="E62" s="10" t="s">
        <v>60</v>
      </c>
      <c r="F62" s="12">
        <v>28230779</v>
      </c>
      <c r="G62" s="12">
        <v>34438005.420000002</v>
      </c>
      <c r="H62" s="12">
        <f>+F62-G62</f>
        <v>-6207226.4200000018</v>
      </c>
      <c r="I62" s="13"/>
      <c r="J62" s="12">
        <v>2000000</v>
      </c>
      <c r="K62" s="12">
        <v>10020339.039999999</v>
      </c>
      <c r="L62" s="12">
        <f>+J62-K62</f>
        <v>-8020339.0399999991</v>
      </c>
      <c r="M62" s="12"/>
      <c r="N62" s="12"/>
      <c r="O62" s="12"/>
      <c r="P62" s="12">
        <f>+N62-O62</f>
        <v>0</v>
      </c>
      <c r="Q62" s="13"/>
      <c r="R62" s="12">
        <f t="shared" ref="R62:S65" si="19">+F62+J62+N62</f>
        <v>30230779</v>
      </c>
      <c r="S62" s="12">
        <f t="shared" si="19"/>
        <v>44458344.460000001</v>
      </c>
      <c r="T62" s="14">
        <f>+R62-S62</f>
        <v>-14227565.460000001</v>
      </c>
      <c r="U62" s="17">
        <f t="shared" si="5"/>
        <v>1.470631784248762</v>
      </c>
    </row>
    <row r="63" spans="2:21" ht="30" customHeight="1">
      <c r="B63" s="18"/>
      <c r="C63" s="10"/>
      <c r="D63" s="10"/>
      <c r="E63" s="21" t="s">
        <v>61</v>
      </c>
      <c r="F63" s="12">
        <v>29350989.530000001</v>
      </c>
      <c r="G63" s="12">
        <v>36027632.280000001</v>
      </c>
      <c r="H63" s="12">
        <f>+F63-G63</f>
        <v>-6676642.75</v>
      </c>
      <c r="I63" s="13"/>
      <c r="J63" s="12"/>
      <c r="K63" s="12"/>
      <c r="L63" s="12">
        <f>+J63-K63</f>
        <v>0</v>
      </c>
      <c r="M63" s="12"/>
      <c r="N63" s="12">
        <v>1706479</v>
      </c>
      <c r="O63" s="12">
        <v>1922594.02</v>
      </c>
      <c r="P63" s="12">
        <f>+N63-O63</f>
        <v>-216115.02000000002</v>
      </c>
      <c r="Q63" s="13"/>
      <c r="R63" s="12">
        <f t="shared" si="19"/>
        <v>31057468.530000001</v>
      </c>
      <c r="S63" s="12">
        <f t="shared" si="19"/>
        <v>37950226.300000004</v>
      </c>
      <c r="T63" s="14">
        <f>+R63-S63</f>
        <v>-6892757.7700000033</v>
      </c>
      <c r="U63" s="17">
        <f t="shared" si="5"/>
        <v>1.2219355954057214</v>
      </c>
    </row>
    <row r="64" spans="2:21" ht="30" customHeight="1">
      <c r="B64" s="18"/>
      <c r="C64" s="10"/>
      <c r="D64" s="10"/>
      <c r="E64" s="22" t="s">
        <v>62</v>
      </c>
      <c r="F64" s="12">
        <v>29157178</v>
      </c>
      <c r="G64" s="12">
        <v>35949158</v>
      </c>
      <c r="H64" s="12">
        <f>+F64-G64</f>
        <v>-6791980</v>
      </c>
      <c r="I64" s="13"/>
      <c r="J64" s="12">
        <v>500000</v>
      </c>
      <c r="K64" s="12">
        <v>500000</v>
      </c>
      <c r="L64" s="12">
        <f>+J64-K64</f>
        <v>0</v>
      </c>
      <c r="M64" s="12"/>
      <c r="N64" s="12">
        <v>427307</v>
      </c>
      <c r="O64" s="12">
        <v>58376.55</v>
      </c>
      <c r="P64" s="12">
        <f>+N64-O64</f>
        <v>368930.45</v>
      </c>
      <c r="Q64" s="13"/>
      <c r="R64" s="12">
        <f t="shared" si="19"/>
        <v>30084485</v>
      </c>
      <c r="S64" s="12">
        <f t="shared" si="19"/>
        <v>36507534.549999997</v>
      </c>
      <c r="T64" s="14">
        <f>+R64-S64</f>
        <v>-6423049.549999997</v>
      </c>
      <c r="U64" s="17">
        <f t="shared" si="5"/>
        <v>1.2135003989597959</v>
      </c>
    </row>
    <row r="65" spans="2:21" ht="30" customHeight="1">
      <c r="B65" s="18"/>
      <c r="C65" s="10"/>
      <c r="D65" s="10"/>
      <c r="E65" s="21" t="s">
        <v>63</v>
      </c>
      <c r="F65" s="12">
        <v>13634694</v>
      </c>
      <c r="G65" s="12">
        <v>14737924.41</v>
      </c>
      <c r="H65" s="12">
        <f>+F65-G65</f>
        <v>-1103230.4100000001</v>
      </c>
      <c r="I65" s="13"/>
      <c r="J65" s="12"/>
      <c r="K65" s="12"/>
      <c r="L65" s="12">
        <f>+J65-K65</f>
        <v>0</v>
      </c>
      <c r="M65" s="12"/>
      <c r="N65" s="12">
        <v>3527226</v>
      </c>
      <c r="O65" s="12">
        <v>2867556.31</v>
      </c>
      <c r="P65" s="12">
        <f>+N65-O65</f>
        <v>659669.68999999994</v>
      </c>
      <c r="Q65" s="13"/>
      <c r="R65" s="12">
        <f t="shared" si="19"/>
        <v>17161920</v>
      </c>
      <c r="S65" s="12">
        <f t="shared" si="19"/>
        <v>17605480.719999999</v>
      </c>
      <c r="T65" s="14">
        <f>+R65-S65</f>
        <v>-443560.71999999881</v>
      </c>
      <c r="U65" s="17">
        <f t="shared" si="5"/>
        <v>1.0258456349872274</v>
      </c>
    </row>
    <row r="66" spans="2:21" ht="24.95" customHeight="1">
      <c r="B66" s="18"/>
      <c r="C66" s="10"/>
      <c r="D66" s="10"/>
      <c r="E66" s="21"/>
      <c r="F66" s="12"/>
      <c r="G66" s="12"/>
      <c r="H66" s="12"/>
      <c r="I66" s="13"/>
      <c r="J66" s="12"/>
      <c r="K66" s="12"/>
      <c r="L66" s="12"/>
      <c r="M66" s="12"/>
      <c r="N66" s="12"/>
      <c r="O66" s="12"/>
      <c r="P66" s="12"/>
      <c r="Q66" s="13"/>
      <c r="R66" s="12"/>
      <c r="S66" s="12"/>
      <c r="T66" s="14"/>
      <c r="U66" s="17"/>
    </row>
    <row r="67" spans="2:21" ht="24.95" customHeight="1">
      <c r="B67" s="18"/>
      <c r="C67" s="20" t="s">
        <v>64</v>
      </c>
      <c r="D67" s="20"/>
      <c r="E67" s="10"/>
      <c r="F67" s="12"/>
      <c r="G67" s="12"/>
      <c r="H67" s="12"/>
      <c r="I67" s="13"/>
      <c r="J67" s="12"/>
      <c r="K67" s="12"/>
      <c r="L67" s="12"/>
      <c r="M67" s="12"/>
      <c r="N67" s="12"/>
      <c r="O67" s="12"/>
      <c r="P67" s="12"/>
      <c r="Q67" s="13"/>
      <c r="R67" s="12"/>
      <c r="S67" s="12"/>
      <c r="T67" s="14"/>
      <c r="U67" s="17"/>
    </row>
    <row r="68" spans="2:21" ht="24.95" customHeight="1">
      <c r="B68" s="18"/>
      <c r="C68" s="20"/>
      <c r="D68" s="20"/>
      <c r="E68" s="10" t="s">
        <v>65</v>
      </c>
      <c r="F68" s="12">
        <v>26187484</v>
      </c>
      <c r="G68" s="12">
        <v>26524031.870000001</v>
      </c>
      <c r="H68" s="12">
        <f>+F68-G68</f>
        <v>-336547.87000000104</v>
      </c>
      <c r="I68" s="13"/>
      <c r="J68" s="12">
        <v>29321000</v>
      </c>
      <c r="K68" s="12">
        <v>31643547.109999999</v>
      </c>
      <c r="L68" s="12">
        <f>+J68-K68</f>
        <v>-2322547.1099999994</v>
      </c>
      <c r="M68" s="12"/>
      <c r="N68" s="12">
        <v>11939608</v>
      </c>
      <c r="O68" s="12">
        <v>11867764.130000001</v>
      </c>
      <c r="P68" s="12">
        <f>+N68-O68</f>
        <v>71843.86999999918</v>
      </c>
      <c r="Q68" s="13"/>
      <c r="R68" s="12">
        <f t="shared" ref="R68:S72" si="20">+F68+J68+N68</f>
        <v>67448092</v>
      </c>
      <c r="S68" s="12">
        <f t="shared" si="20"/>
        <v>70035343.109999999</v>
      </c>
      <c r="T68" s="14">
        <f>+R68-S68</f>
        <v>-2587251.1099999994</v>
      </c>
      <c r="U68" s="17">
        <f t="shared" si="5"/>
        <v>1.0383591445403675</v>
      </c>
    </row>
    <row r="69" spans="2:21" ht="30.75" customHeight="1">
      <c r="B69" s="18"/>
      <c r="C69" s="10"/>
      <c r="D69" s="10"/>
      <c r="E69" s="21" t="s">
        <v>66</v>
      </c>
      <c r="F69" s="12">
        <v>56934000</v>
      </c>
      <c r="G69" s="12">
        <v>27081091.129999999</v>
      </c>
      <c r="H69" s="12">
        <f>+F69-G69</f>
        <v>29852908.870000001</v>
      </c>
      <c r="I69" s="13"/>
      <c r="J69" s="12">
        <v>2144073</v>
      </c>
      <c r="K69" s="12">
        <v>1748485.48</v>
      </c>
      <c r="L69" s="12">
        <f>+J69-K69</f>
        <v>395587.52</v>
      </c>
      <c r="M69" s="12"/>
      <c r="N69" s="12">
        <v>308371</v>
      </c>
      <c r="O69" s="12">
        <v>308371</v>
      </c>
      <c r="P69" s="12">
        <f>+N69-O69</f>
        <v>0</v>
      </c>
      <c r="Q69" s="13"/>
      <c r="R69" s="12">
        <f t="shared" si="20"/>
        <v>59386444</v>
      </c>
      <c r="S69" s="12">
        <f t="shared" si="20"/>
        <v>29137947.609999999</v>
      </c>
      <c r="T69" s="14">
        <f>+R69-S69</f>
        <v>30248496.390000001</v>
      </c>
      <c r="U69" s="17">
        <f t="shared" si="5"/>
        <v>0.49064981243867706</v>
      </c>
    </row>
    <row r="70" spans="2:21" ht="30.75" customHeight="1">
      <c r="B70" s="18"/>
      <c r="C70" s="10"/>
      <c r="D70" s="10"/>
      <c r="E70" s="21" t="s">
        <v>67</v>
      </c>
      <c r="F70" s="12">
        <v>10937781</v>
      </c>
      <c r="G70" s="12">
        <v>11253130.199999999</v>
      </c>
      <c r="H70" s="12">
        <f>+F70-G70</f>
        <v>-315349.19999999925</v>
      </c>
      <c r="I70" s="13"/>
      <c r="J70" s="12"/>
      <c r="K70" s="12"/>
      <c r="L70" s="12">
        <f>+J70-K70</f>
        <v>0</v>
      </c>
      <c r="M70" s="12"/>
      <c r="N70" s="12">
        <v>259567</v>
      </c>
      <c r="O70" s="12">
        <v>259567</v>
      </c>
      <c r="P70" s="12">
        <f>+N70-O70</f>
        <v>0</v>
      </c>
      <c r="Q70" s="13"/>
      <c r="R70" s="12">
        <f t="shared" si="20"/>
        <v>11197348</v>
      </c>
      <c r="S70" s="12">
        <f t="shared" si="20"/>
        <v>11512697.199999999</v>
      </c>
      <c r="T70" s="14">
        <f>+R70-S70</f>
        <v>-315349.19999999925</v>
      </c>
      <c r="U70" s="17">
        <f t="shared" si="5"/>
        <v>1.0281628471313029</v>
      </c>
    </row>
    <row r="71" spans="2:21" ht="30.75" customHeight="1">
      <c r="B71" s="18"/>
      <c r="C71" s="10"/>
      <c r="D71" s="10"/>
      <c r="E71" s="22" t="s">
        <v>68</v>
      </c>
      <c r="F71" s="12">
        <v>5831878</v>
      </c>
      <c r="G71" s="12">
        <v>4794897.8499999996</v>
      </c>
      <c r="H71" s="12">
        <f>+F71-G71</f>
        <v>1036980.1500000004</v>
      </c>
      <c r="I71" s="13"/>
      <c r="J71" s="12">
        <v>438228</v>
      </c>
      <c r="K71" s="12">
        <v>438228</v>
      </c>
      <c r="L71" s="12">
        <f>+J71-K71</f>
        <v>0</v>
      </c>
      <c r="M71" s="12"/>
      <c r="N71" s="12"/>
      <c r="O71" s="12"/>
      <c r="P71" s="12">
        <f>+N71-O71</f>
        <v>0</v>
      </c>
      <c r="Q71" s="13"/>
      <c r="R71" s="12">
        <f t="shared" si="20"/>
        <v>6270106</v>
      </c>
      <c r="S71" s="12">
        <f t="shared" si="20"/>
        <v>5233125.8499999996</v>
      </c>
      <c r="T71" s="14">
        <f>+R71-S71</f>
        <v>1036980.1500000004</v>
      </c>
      <c r="U71" s="17">
        <f t="shared" si="5"/>
        <v>0.83461521224681046</v>
      </c>
    </row>
    <row r="72" spans="2:21" ht="24.95" customHeight="1">
      <c r="B72" s="18"/>
      <c r="C72" s="10"/>
      <c r="D72" s="10"/>
      <c r="E72" s="41" t="s">
        <v>69</v>
      </c>
      <c r="F72" s="12">
        <v>4460000</v>
      </c>
      <c r="G72" s="12">
        <v>6088392.2400000002</v>
      </c>
      <c r="H72" s="12">
        <f>+F72-G72</f>
        <v>-1628392.2400000002</v>
      </c>
      <c r="I72" s="13"/>
      <c r="J72" s="12"/>
      <c r="K72" s="12"/>
      <c r="L72" s="12">
        <f>+J72-K72</f>
        <v>0</v>
      </c>
      <c r="M72" s="12"/>
      <c r="N72" s="12">
        <v>6520327</v>
      </c>
      <c r="O72" s="12">
        <v>9371162.4800000004</v>
      </c>
      <c r="P72" s="12">
        <f>+N72-O72</f>
        <v>-2850835.4800000004</v>
      </c>
      <c r="Q72" s="13"/>
      <c r="R72" s="12">
        <f t="shared" si="20"/>
        <v>10980327</v>
      </c>
      <c r="S72" s="12">
        <f t="shared" si="20"/>
        <v>15459554.720000001</v>
      </c>
      <c r="T72" s="14">
        <f>+R72-S72</f>
        <v>-4479227.7200000007</v>
      </c>
      <c r="U72" s="17">
        <f t="shared" si="5"/>
        <v>1.4079320879970152</v>
      </c>
    </row>
    <row r="73" spans="2:21" ht="24.95" customHeight="1">
      <c r="B73" s="18"/>
      <c r="C73" s="10"/>
      <c r="D73" s="10"/>
      <c r="E73" s="41"/>
      <c r="F73" s="12"/>
      <c r="G73" s="12"/>
      <c r="H73" s="12"/>
      <c r="I73" s="13"/>
      <c r="J73" s="12"/>
      <c r="K73" s="12"/>
      <c r="L73" s="12"/>
      <c r="M73" s="12"/>
      <c r="N73" s="12"/>
      <c r="O73" s="12"/>
      <c r="P73" s="12"/>
      <c r="Q73" s="13"/>
      <c r="R73" s="12"/>
      <c r="S73" s="12"/>
      <c r="T73" s="14"/>
      <c r="U73" s="17"/>
    </row>
    <row r="74" spans="2:21" ht="24.95" customHeight="1">
      <c r="B74" s="18"/>
      <c r="C74" s="20" t="s">
        <v>70</v>
      </c>
      <c r="D74" s="20"/>
      <c r="E74" s="10"/>
      <c r="F74" s="12"/>
      <c r="G74" s="12"/>
      <c r="H74" s="12"/>
      <c r="I74" s="13"/>
      <c r="J74" s="12"/>
      <c r="K74" s="12"/>
      <c r="L74" s="12"/>
      <c r="M74" s="12"/>
      <c r="N74" s="12"/>
      <c r="O74" s="12"/>
      <c r="P74" s="12"/>
      <c r="Q74" s="13"/>
      <c r="R74" s="12"/>
      <c r="S74" s="12"/>
      <c r="T74" s="14"/>
      <c r="U74" s="17"/>
    </row>
    <row r="75" spans="2:21" ht="24.95" customHeight="1">
      <c r="B75" s="18"/>
      <c r="C75" s="20"/>
      <c r="D75" s="20"/>
      <c r="E75" s="10" t="s">
        <v>71</v>
      </c>
      <c r="F75" s="12">
        <v>30959000</v>
      </c>
      <c r="G75" s="12">
        <v>39517769.210000001</v>
      </c>
      <c r="H75" s="12">
        <f t="shared" ref="H75:H80" si="21">+F75-G75</f>
        <v>-8558769.2100000009</v>
      </c>
      <c r="I75" s="13"/>
      <c r="J75" s="12"/>
      <c r="K75" s="12"/>
      <c r="L75" s="12">
        <f t="shared" ref="L75:L80" si="22">+J75-K75</f>
        <v>0</v>
      </c>
      <c r="M75" s="12"/>
      <c r="N75" s="12">
        <v>234874</v>
      </c>
      <c r="O75" s="12">
        <v>230322.25</v>
      </c>
      <c r="P75" s="12">
        <f t="shared" ref="P75:P80" si="23">+N75-O75</f>
        <v>4551.75</v>
      </c>
      <c r="Q75" s="13"/>
      <c r="R75" s="12">
        <f t="shared" ref="R75:S80" si="24">+F75+J75+N75</f>
        <v>31193874</v>
      </c>
      <c r="S75" s="12">
        <f t="shared" si="24"/>
        <v>39748091.460000001</v>
      </c>
      <c r="T75" s="14">
        <f t="shared" ref="T75:T80" si="25">+R75-S75</f>
        <v>-8554217.4600000009</v>
      </c>
      <c r="U75" s="17">
        <f t="shared" ref="U75:U136" si="26">+S75/R75</f>
        <v>1.2742274800494482</v>
      </c>
    </row>
    <row r="76" spans="2:21" ht="28.5" customHeight="1">
      <c r="B76" s="18"/>
      <c r="C76" s="10"/>
      <c r="D76" s="10"/>
      <c r="E76" s="21" t="s">
        <v>72</v>
      </c>
      <c r="F76" s="12">
        <v>18625000</v>
      </c>
      <c r="G76" s="12">
        <v>18101321.300000001</v>
      </c>
      <c r="H76" s="12">
        <f t="shared" si="21"/>
        <v>523678.69999999925</v>
      </c>
      <c r="I76" s="13"/>
      <c r="J76" s="12"/>
      <c r="K76" s="12">
        <v>209223</v>
      </c>
      <c r="L76" s="12">
        <f t="shared" si="22"/>
        <v>-209223</v>
      </c>
      <c r="M76" s="12"/>
      <c r="N76" s="12">
        <v>492360</v>
      </c>
      <c r="O76" s="12">
        <v>785618.91</v>
      </c>
      <c r="P76" s="12">
        <f t="shared" si="23"/>
        <v>-293258.91000000003</v>
      </c>
      <c r="Q76" s="13"/>
      <c r="R76" s="12">
        <f t="shared" si="24"/>
        <v>19117360</v>
      </c>
      <c r="S76" s="12">
        <f t="shared" si="24"/>
        <v>19096163.210000001</v>
      </c>
      <c r="T76" s="14">
        <f t="shared" si="25"/>
        <v>21196.789999999106</v>
      </c>
      <c r="U76" s="17">
        <f t="shared" si="26"/>
        <v>0.99889122818213394</v>
      </c>
    </row>
    <row r="77" spans="2:21" ht="28.5" customHeight="1">
      <c r="B77" s="18"/>
      <c r="C77" s="10"/>
      <c r="D77" s="10"/>
      <c r="E77" s="21" t="s">
        <v>73</v>
      </c>
      <c r="F77" s="12">
        <v>1450000</v>
      </c>
      <c r="G77" s="12">
        <v>1690429.67</v>
      </c>
      <c r="H77" s="12">
        <f t="shared" si="21"/>
        <v>-240429.66999999993</v>
      </c>
      <c r="I77" s="13"/>
      <c r="J77" s="12"/>
      <c r="K77" s="12"/>
      <c r="L77" s="12">
        <f t="shared" si="22"/>
        <v>0</v>
      </c>
      <c r="M77" s="12"/>
      <c r="N77" s="12"/>
      <c r="O77" s="12"/>
      <c r="P77" s="12">
        <f t="shared" si="23"/>
        <v>0</v>
      </c>
      <c r="Q77" s="13"/>
      <c r="R77" s="12">
        <f t="shared" si="24"/>
        <v>1450000</v>
      </c>
      <c r="S77" s="12">
        <f t="shared" si="24"/>
        <v>1690429.67</v>
      </c>
      <c r="T77" s="14">
        <f t="shared" si="25"/>
        <v>-240429.66999999993</v>
      </c>
      <c r="U77" s="17">
        <f t="shared" si="26"/>
        <v>1.1658135655172412</v>
      </c>
    </row>
    <row r="78" spans="2:21" ht="28.5" customHeight="1">
      <c r="B78" s="18"/>
      <c r="C78" s="10"/>
      <c r="D78" s="10"/>
      <c r="E78" s="21" t="s">
        <v>74</v>
      </c>
      <c r="F78" s="12">
        <v>14314000</v>
      </c>
      <c r="G78" s="12">
        <v>13052243.510000002</v>
      </c>
      <c r="H78" s="12">
        <f t="shared" si="21"/>
        <v>1261756.4899999984</v>
      </c>
      <c r="I78" s="13"/>
      <c r="J78" s="12"/>
      <c r="K78" s="12"/>
      <c r="L78" s="12">
        <f t="shared" si="22"/>
        <v>0</v>
      </c>
      <c r="M78" s="12"/>
      <c r="N78" s="12"/>
      <c r="O78" s="12"/>
      <c r="P78" s="12">
        <f t="shared" si="23"/>
        <v>0</v>
      </c>
      <c r="Q78" s="13"/>
      <c r="R78" s="12">
        <f t="shared" si="24"/>
        <v>14314000</v>
      </c>
      <c r="S78" s="12">
        <f t="shared" si="24"/>
        <v>13052243.510000002</v>
      </c>
      <c r="T78" s="14">
        <f t="shared" si="25"/>
        <v>1261756.4899999984</v>
      </c>
      <c r="U78" s="17">
        <f t="shared" si="26"/>
        <v>0.91185157957244667</v>
      </c>
    </row>
    <row r="79" spans="2:21" ht="24.95" customHeight="1">
      <c r="B79" s="18"/>
      <c r="C79" s="10"/>
      <c r="D79" s="10"/>
      <c r="E79" s="28" t="s">
        <v>75</v>
      </c>
      <c r="F79" s="12">
        <v>5727000</v>
      </c>
      <c r="G79" s="12">
        <v>5393330.04</v>
      </c>
      <c r="H79" s="12">
        <f t="shared" si="21"/>
        <v>333669.95999999996</v>
      </c>
      <c r="I79" s="13"/>
      <c r="J79" s="12"/>
      <c r="K79" s="12"/>
      <c r="L79" s="12">
        <f t="shared" si="22"/>
        <v>0</v>
      </c>
      <c r="M79" s="12"/>
      <c r="N79" s="12"/>
      <c r="O79" s="12"/>
      <c r="P79" s="12">
        <f t="shared" si="23"/>
        <v>0</v>
      </c>
      <c r="Q79" s="13"/>
      <c r="R79" s="12">
        <f t="shared" si="24"/>
        <v>5727000</v>
      </c>
      <c r="S79" s="12">
        <f t="shared" si="24"/>
        <v>5393330.04</v>
      </c>
      <c r="T79" s="14">
        <f t="shared" si="25"/>
        <v>333669.95999999996</v>
      </c>
      <c r="U79" s="17">
        <f t="shared" si="26"/>
        <v>0.94173739130434786</v>
      </c>
    </row>
    <row r="80" spans="2:21" ht="24.95" customHeight="1">
      <c r="B80" s="18"/>
      <c r="C80" s="10"/>
      <c r="D80" s="10"/>
      <c r="E80" s="22" t="s">
        <v>76</v>
      </c>
      <c r="F80" s="12">
        <v>8981852</v>
      </c>
      <c r="G80" s="12">
        <v>8877718.4900000021</v>
      </c>
      <c r="H80" s="12">
        <f t="shared" si="21"/>
        <v>104133.50999999791</v>
      </c>
      <c r="I80" s="13"/>
      <c r="J80" s="12"/>
      <c r="K80" s="12"/>
      <c r="L80" s="12">
        <f t="shared" si="22"/>
        <v>0</v>
      </c>
      <c r="M80" s="12"/>
      <c r="N80" s="12">
        <v>464013</v>
      </c>
      <c r="O80" s="12">
        <v>464012.12</v>
      </c>
      <c r="P80" s="12">
        <f t="shared" si="23"/>
        <v>0.88000000000465661</v>
      </c>
      <c r="Q80" s="13"/>
      <c r="R80" s="12">
        <f t="shared" si="24"/>
        <v>9445865</v>
      </c>
      <c r="S80" s="12">
        <f t="shared" si="24"/>
        <v>9341730.6100000013</v>
      </c>
      <c r="T80" s="14">
        <f t="shared" si="25"/>
        <v>104134.38999999873</v>
      </c>
      <c r="U80" s="17">
        <f t="shared" si="26"/>
        <v>0.98897566395454528</v>
      </c>
    </row>
    <row r="81" spans="2:21" ht="27.75" customHeight="1">
      <c r="B81" s="18"/>
      <c r="C81" s="10"/>
      <c r="D81" s="10"/>
      <c r="E81" s="31" t="s">
        <v>51</v>
      </c>
      <c r="F81" s="32">
        <f>SUM(F55:F80)</f>
        <v>388598091.52999997</v>
      </c>
      <c r="G81" s="32">
        <f t="shared" ref="G81:S81" si="27">SUM(G55:G80)</f>
        <v>362909000.47000003</v>
      </c>
      <c r="H81" s="32">
        <f t="shared" si="27"/>
        <v>25689091.059999991</v>
      </c>
      <c r="I81" s="32">
        <f t="shared" si="27"/>
        <v>0</v>
      </c>
      <c r="J81" s="32">
        <f>SUM(J55:J80)</f>
        <v>34403301</v>
      </c>
      <c r="K81" s="32">
        <f>SUM(K55:K80)</f>
        <v>44559822.629999995</v>
      </c>
      <c r="L81" s="32">
        <f>SUM(L55:L80)</f>
        <v>-10156521.629999999</v>
      </c>
      <c r="M81" s="32">
        <f t="shared" si="27"/>
        <v>0</v>
      </c>
      <c r="N81" s="32">
        <f>SUM(N55:N80)</f>
        <v>27803970</v>
      </c>
      <c r="O81" s="32">
        <f>SUM(O55:O80)</f>
        <v>29658719.130000003</v>
      </c>
      <c r="P81" s="32">
        <f>SUM(P55:P80)</f>
        <v>-1854749.1300000013</v>
      </c>
      <c r="Q81" s="32">
        <f t="shared" si="27"/>
        <v>0</v>
      </c>
      <c r="R81" s="32">
        <f t="shared" si="27"/>
        <v>450805362.52999997</v>
      </c>
      <c r="S81" s="32">
        <f t="shared" si="27"/>
        <v>437127542.23000002</v>
      </c>
      <c r="T81" s="34">
        <f>SUM(T55:T80)</f>
        <v>13677820.299999999</v>
      </c>
      <c r="U81" s="17">
        <f t="shared" si="26"/>
        <v>0.96965914464007796</v>
      </c>
    </row>
    <row r="82" spans="2:21" ht="24.95" customHeight="1">
      <c r="B82" s="18"/>
      <c r="C82" s="10"/>
      <c r="D82" s="10"/>
      <c r="E82" s="22"/>
      <c r="F82" s="12"/>
      <c r="G82" s="12"/>
      <c r="H82" s="12"/>
      <c r="I82" s="13"/>
      <c r="J82" s="12"/>
      <c r="K82" s="12"/>
      <c r="L82" s="12"/>
      <c r="M82" s="12"/>
      <c r="N82" s="12"/>
      <c r="O82" s="12"/>
      <c r="P82" s="12"/>
      <c r="Q82" s="13"/>
      <c r="R82" s="12"/>
      <c r="S82" s="12"/>
      <c r="T82" s="14"/>
      <c r="U82" s="17"/>
    </row>
    <row r="83" spans="2:21" ht="24.95" customHeight="1">
      <c r="B83" s="18"/>
      <c r="C83" s="24" t="s">
        <v>77</v>
      </c>
      <c r="D83" s="10"/>
      <c r="E83" s="22"/>
      <c r="F83" s="12">
        <f>SUM(F85:F103)</f>
        <v>266545680</v>
      </c>
      <c r="G83" s="12">
        <f t="shared" ref="G83:T83" si="28">SUM(G85:G103)</f>
        <v>255656376.37</v>
      </c>
      <c r="H83" s="12">
        <f t="shared" si="28"/>
        <v>10889303.630000006</v>
      </c>
      <c r="I83" s="12">
        <f t="shared" si="28"/>
        <v>0</v>
      </c>
      <c r="J83" s="12">
        <f>SUM(J85:J103)</f>
        <v>68782000</v>
      </c>
      <c r="K83" s="12">
        <f>SUM(K85:K103)</f>
        <v>129269876.03</v>
      </c>
      <c r="L83" s="12">
        <f>SUM(L85:L103)</f>
        <v>-60487876.030000001</v>
      </c>
      <c r="M83" s="12">
        <f t="shared" si="28"/>
        <v>0</v>
      </c>
      <c r="N83" s="12">
        <f>SUM(N85:N103)</f>
        <v>1092074.54</v>
      </c>
      <c r="O83" s="12">
        <f>SUM(O85:O103)</f>
        <v>29254034.469999999</v>
      </c>
      <c r="P83" s="12">
        <f>SUM(P85:P103)</f>
        <v>-28161959.93</v>
      </c>
      <c r="Q83" s="12">
        <f t="shared" si="28"/>
        <v>0</v>
      </c>
      <c r="R83" s="12">
        <f t="shared" si="28"/>
        <v>336419754.53999996</v>
      </c>
      <c r="S83" s="12">
        <f t="shared" si="28"/>
        <v>414180286.86999995</v>
      </c>
      <c r="T83" s="14">
        <f t="shared" si="28"/>
        <v>-77760532.329999983</v>
      </c>
      <c r="U83" s="17">
        <f>+S83/R83</f>
        <v>1.2311413978537766</v>
      </c>
    </row>
    <row r="84" spans="2:21" ht="24.95" customHeight="1">
      <c r="B84" s="18"/>
      <c r="C84" s="20" t="s">
        <v>78</v>
      </c>
      <c r="D84" s="20"/>
      <c r="E84" s="10"/>
      <c r="F84" s="12"/>
      <c r="G84" s="12"/>
      <c r="H84" s="12">
        <f t="shared" ref="H84:H89" si="29">+F84-G84</f>
        <v>0</v>
      </c>
      <c r="I84" s="13"/>
      <c r="J84" s="12"/>
      <c r="K84" s="12"/>
      <c r="L84" s="12">
        <f t="shared" ref="L84:L89" si="30">+J84-K84</f>
        <v>0</v>
      </c>
      <c r="M84" s="12"/>
      <c r="N84" s="12"/>
      <c r="O84" s="12"/>
      <c r="P84" s="12">
        <f t="shared" ref="P84:P89" si="31">+N84-O84</f>
        <v>0</v>
      </c>
      <c r="Q84" s="13"/>
      <c r="R84" s="12"/>
      <c r="S84" s="12"/>
      <c r="T84" s="14"/>
      <c r="U84" s="17"/>
    </row>
    <row r="85" spans="2:21" ht="24.95" customHeight="1">
      <c r="B85" s="18"/>
      <c r="C85" s="20"/>
      <c r="D85" s="20"/>
      <c r="E85" s="10" t="s">
        <v>79</v>
      </c>
      <c r="F85" s="42">
        <v>56838000</v>
      </c>
      <c r="G85" s="12">
        <v>35844770.140000001</v>
      </c>
      <c r="H85" s="12">
        <f t="shared" si="29"/>
        <v>20993229.859999999</v>
      </c>
      <c r="I85" s="13"/>
      <c r="J85" s="42"/>
      <c r="K85" s="12"/>
      <c r="L85" s="12">
        <f t="shared" si="30"/>
        <v>0</v>
      </c>
      <c r="M85" s="12"/>
      <c r="N85" s="42"/>
      <c r="O85" s="12">
        <v>28161959.93</v>
      </c>
      <c r="P85" s="12">
        <f t="shared" si="31"/>
        <v>-28161959.93</v>
      </c>
      <c r="Q85" s="13"/>
      <c r="R85" s="12">
        <f t="shared" ref="R85:S89" si="32">+F85+J85+N85</f>
        <v>56838000</v>
      </c>
      <c r="S85" s="12">
        <f t="shared" si="32"/>
        <v>64006730.07</v>
      </c>
      <c r="T85" s="14">
        <f>+R85-S85</f>
        <v>-7168730.0700000003</v>
      </c>
      <c r="U85" s="17">
        <f t="shared" si="26"/>
        <v>1.1261256566029769</v>
      </c>
    </row>
    <row r="86" spans="2:21" ht="27" customHeight="1">
      <c r="B86" s="18"/>
      <c r="C86" s="10"/>
      <c r="D86" s="10"/>
      <c r="E86" s="22" t="s">
        <v>80</v>
      </c>
      <c r="F86" s="12">
        <v>31091000</v>
      </c>
      <c r="G86" s="12">
        <v>39388016.229999997</v>
      </c>
      <c r="H86" s="12">
        <f t="shared" si="29"/>
        <v>-8297016.2299999967</v>
      </c>
      <c r="I86" s="13"/>
      <c r="J86" s="12"/>
      <c r="K86" s="12"/>
      <c r="L86" s="12">
        <f t="shared" si="30"/>
        <v>0</v>
      </c>
      <c r="M86" s="12"/>
      <c r="N86" s="12">
        <v>1092074.54</v>
      </c>
      <c r="O86" s="12">
        <v>1092074.54</v>
      </c>
      <c r="P86" s="12">
        <f t="shared" si="31"/>
        <v>0</v>
      </c>
      <c r="Q86" s="13"/>
      <c r="R86" s="12">
        <f t="shared" si="32"/>
        <v>32183074.539999999</v>
      </c>
      <c r="S86" s="12">
        <f t="shared" si="32"/>
        <v>40480090.769999996</v>
      </c>
      <c r="T86" s="14">
        <f>+R86-S86</f>
        <v>-8297016.2299999967</v>
      </c>
      <c r="U86" s="17">
        <f t="shared" si="26"/>
        <v>1.2578068238846392</v>
      </c>
    </row>
    <row r="87" spans="2:21" ht="27" customHeight="1">
      <c r="B87" s="18"/>
      <c r="C87" s="10"/>
      <c r="D87" s="10"/>
      <c r="E87" s="22" t="s">
        <v>81</v>
      </c>
      <c r="F87" s="12">
        <v>45171000</v>
      </c>
      <c r="G87" s="12">
        <v>25048101.710000001</v>
      </c>
      <c r="H87" s="12">
        <f t="shared" si="29"/>
        <v>20122898.289999999</v>
      </c>
      <c r="I87" s="13"/>
      <c r="J87" s="12"/>
      <c r="K87" s="12"/>
      <c r="L87" s="12">
        <f t="shared" si="30"/>
        <v>0</v>
      </c>
      <c r="M87" s="12"/>
      <c r="N87" s="12"/>
      <c r="O87" s="12"/>
      <c r="P87" s="12">
        <f t="shared" si="31"/>
        <v>0</v>
      </c>
      <c r="Q87" s="13"/>
      <c r="R87" s="12">
        <f t="shared" si="32"/>
        <v>45171000</v>
      </c>
      <c r="S87" s="12">
        <f t="shared" si="32"/>
        <v>25048101.710000001</v>
      </c>
      <c r="T87" s="14">
        <f>+R87-S87</f>
        <v>20122898.289999999</v>
      </c>
      <c r="U87" s="17">
        <f t="shared" si="26"/>
        <v>0.55451731664120785</v>
      </c>
    </row>
    <row r="88" spans="2:21" ht="27" customHeight="1">
      <c r="B88" s="18"/>
      <c r="C88" s="10"/>
      <c r="D88" s="10"/>
      <c r="E88" s="22" t="s">
        <v>82</v>
      </c>
      <c r="F88" s="12">
        <v>5377000</v>
      </c>
      <c r="G88" s="12">
        <v>5377000</v>
      </c>
      <c r="H88" s="12">
        <f t="shared" si="29"/>
        <v>0</v>
      </c>
      <c r="I88" s="13"/>
      <c r="J88" s="12"/>
      <c r="K88" s="12"/>
      <c r="L88" s="12">
        <f t="shared" si="30"/>
        <v>0</v>
      </c>
      <c r="M88" s="12"/>
      <c r="N88" s="12"/>
      <c r="O88" s="12"/>
      <c r="P88" s="12">
        <f t="shared" si="31"/>
        <v>0</v>
      </c>
      <c r="Q88" s="13"/>
      <c r="R88" s="12">
        <f t="shared" si="32"/>
        <v>5377000</v>
      </c>
      <c r="S88" s="12">
        <f t="shared" si="32"/>
        <v>5377000</v>
      </c>
      <c r="T88" s="14">
        <f>+R88-S88</f>
        <v>0</v>
      </c>
      <c r="U88" s="17">
        <f t="shared" si="26"/>
        <v>1</v>
      </c>
    </row>
    <row r="89" spans="2:21" ht="27" customHeight="1">
      <c r="B89" s="18"/>
      <c r="C89" s="10"/>
      <c r="D89" s="10"/>
      <c r="E89" s="22" t="s">
        <v>83</v>
      </c>
      <c r="F89" s="12">
        <v>3675000</v>
      </c>
      <c r="G89" s="12">
        <v>1386315.75</v>
      </c>
      <c r="H89" s="12">
        <f t="shared" si="29"/>
        <v>2288684.25</v>
      </c>
      <c r="I89" s="13"/>
      <c r="J89" s="12"/>
      <c r="K89" s="12"/>
      <c r="L89" s="12">
        <f t="shared" si="30"/>
        <v>0</v>
      </c>
      <c r="M89" s="12"/>
      <c r="N89" s="12"/>
      <c r="O89" s="12"/>
      <c r="P89" s="12">
        <f t="shared" si="31"/>
        <v>0</v>
      </c>
      <c r="Q89" s="13"/>
      <c r="R89" s="12">
        <f t="shared" si="32"/>
        <v>3675000</v>
      </c>
      <c r="S89" s="12">
        <f t="shared" si="32"/>
        <v>1386315.75</v>
      </c>
      <c r="T89" s="14">
        <f>+R89-S89</f>
        <v>2288684.25</v>
      </c>
      <c r="U89" s="17">
        <f t="shared" si="26"/>
        <v>0.37722877551020406</v>
      </c>
    </row>
    <row r="90" spans="2:21" ht="24.95" customHeight="1">
      <c r="B90" s="18"/>
      <c r="C90" s="10"/>
      <c r="D90" s="10"/>
      <c r="E90" s="22"/>
      <c r="F90" s="12"/>
      <c r="G90" s="12"/>
      <c r="H90" s="12"/>
      <c r="I90" s="13"/>
      <c r="J90" s="12"/>
      <c r="K90" s="12"/>
      <c r="L90" s="12"/>
      <c r="M90" s="12"/>
      <c r="N90" s="12"/>
      <c r="O90" s="12"/>
      <c r="P90" s="12"/>
      <c r="Q90" s="13"/>
      <c r="R90" s="12"/>
      <c r="S90" s="12"/>
      <c r="T90" s="14"/>
      <c r="U90" s="17"/>
    </row>
    <row r="91" spans="2:21" ht="24.95" customHeight="1">
      <c r="B91" s="18"/>
      <c r="C91" s="20" t="s">
        <v>84</v>
      </c>
      <c r="D91" s="20"/>
      <c r="E91" s="10"/>
      <c r="F91" s="12"/>
      <c r="G91" s="12"/>
      <c r="H91" s="12"/>
      <c r="I91" s="13"/>
      <c r="J91" s="12"/>
      <c r="K91" s="12"/>
      <c r="L91" s="12"/>
      <c r="M91" s="12"/>
      <c r="N91" s="12"/>
      <c r="O91" s="12"/>
      <c r="P91" s="12"/>
      <c r="Q91" s="13"/>
      <c r="R91" s="12"/>
      <c r="S91" s="12"/>
      <c r="T91" s="14"/>
      <c r="U91" s="17"/>
    </row>
    <row r="92" spans="2:21" ht="24.95" customHeight="1">
      <c r="B92" s="18"/>
      <c r="C92" s="20"/>
      <c r="D92" s="20"/>
      <c r="E92" s="10" t="s">
        <v>85</v>
      </c>
      <c r="F92" s="12">
        <v>26791000</v>
      </c>
      <c r="G92" s="12">
        <v>29976608.709999997</v>
      </c>
      <c r="H92" s="12">
        <f t="shared" ref="H92:H98" si="33">+F92-G92</f>
        <v>-3185608.7099999972</v>
      </c>
      <c r="I92" s="13"/>
      <c r="J92" s="12">
        <v>18782000</v>
      </c>
      <c r="K92" s="12">
        <v>18782000</v>
      </c>
      <c r="L92" s="12">
        <f t="shared" ref="L92:L98" si="34">+J92-K92</f>
        <v>0</v>
      </c>
      <c r="M92" s="12"/>
      <c r="N92" s="12"/>
      <c r="O92" s="12"/>
      <c r="P92" s="12">
        <f t="shared" ref="P92:P98" si="35">+N92-O92</f>
        <v>0</v>
      </c>
      <c r="Q92" s="13"/>
      <c r="R92" s="12">
        <f t="shared" ref="R92:S97" si="36">+F92+J92+N92</f>
        <v>45573000</v>
      </c>
      <c r="S92" s="12">
        <f t="shared" si="36"/>
        <v>48758608.709999993</v>
      </c>
      <c r="T92" s="14">
        <f t="shared" ref="T92:T98" si="37">+R92-S92</f>
        <v>-3185608.7099999934</v>
      </c>
      <c r="U92" s="17">
        <f t="shared" si="26"/>
        <v>1.069901229017181</v>
      </c>
    </row>
    <row r="93" spans="2:21" ht="28.5" customHeight="1">
      <c r="B93" s="18"/>
      <c r="C93" s="10"/>
      <c r="D93" s="10"/>
      <c r="E93" s="22" t="s">
        <v>86</v>
      </c>
      <c r="F93" s="12">
        <v>35175680</v>
      </c>
      <c r="G93" s="12">
        <v>38349472.530000001</v>
      </c>
      <c r="H93" s="12">
        <f t="shared" si="33"/>
        <v>-3173792.5300000012</v>
      </c>
      <c r="I93" s="13"/>
      <c r="J93" s="12"/>
      <c r="K93" s="12"/>
      <c r="L93" s="12">
        <f t="shared" si="34"/>
        <v>0</v>
      </c>
      <c r="M93" s="12"/>
      <c r="N93" s="12"/>
      <c r="O93" s="12"/>
      <c r="P93" s="12">
        <f t="shared" si="35"/>
        <v>0</v>
      </c>
      <c r="Q93" s="13"/>
      <c r="R93" s="12">
        <f t="shared" si="36"/>
        <v>35175680</v>
      </c>
      <c r="S93" s="12">
        <f t="shared" si="36"/>
        <v>38349472.530000001</v>
      </c>
      <c r="T93" s="14">
        <f t="shared" si="37"/>
        <v>-3173792.5300000012</v>
      </c>
      <c r="U93" s="17">
        <f t="shared" si="26"/>
        <v>1.0902268990961939</v>
      </c>
    </row>
    <row r="94" spans="2:21" ht="28.5" customHeight="1">
      <c r="B94" s="18"/>
      <c r="C94" s="10"/>
      <c r="D94" s="10"/>
      <c r="E94" s="22" t="s">
        <v>87</v>
      </c>
      <c r="F94" s="12">
        <v>14607000</v>
      </c>
      <c r="G94" s="12">
        <v>19451786.789999999</v>
      </c>
      <c r="H94" s="12">
        <f t="shared" si="33"/>
        <v>-4844786.7899999991</v>
      </c>
      <c r="I94" s="13"/>
      <c r="J94" s="12"/>
      <c r="K94" s="12"/>
      <c r="L94" s="12">
        <f t="shared" si="34"/>
        <v>0</v>
      </c>
      <c r="M94" s="12"/>
      <c r="N94" s="12"/>
      <c r="O94" s="12"/>
      <c r="P94" s="12">
        <f t="shared" si="35"/>
        <v>0</v>
      </c>
      <c r="Q94" s="13"/>
      <c r="R94" s="12">
        <f t="shared" si="36"/>
        <v>14607000</v>
      </c>
      <c r="S94" s="12">
        <f t="shared" si="36"/>
        <v>19451786.789999999</v>
      </c>
      <c r="T94" s="14">
        <f t="shared" si="37"/>
        <v>-4844786.7899999991</v>
      </c>
      <c r="U94" s="17">
        <f t="shared" si="26"/>
        <v>1.3316756890531936</v>
      </c>
    </row>
    <row r="95" spans="2:21" ht="28.5" customHeight="1">
      <c r="B95" s="18"/>
      <c r="C95" s="10"/>
      <c r="D95" s="10"/>
      <c r="E95" s="22" t="s">
        <v>88</v>
      </c>
      <c r="F95" s="12">
        <v>2471000</v>
      </c>
      <c r="G95" s="12">
        <v>3401476.73</v>
      </c>
      <c r="H95" s="12">
        <f t="shared" si="33"/>
        <v>-930476.73</v>
      </c>
      <c r="I95" s="13"/>
      <c r="J95" s="12"/>
      <c r="K95" s="12"/>
      <c r="L95" s="12">
        <f t="shared" si="34"/>
        <v>0</v>
      </c>
      <c r="M95" s="12"/>
      <c r="N95" s="12"/>
      <c r="O95" s="12"/>
      <c r="P95" s="12">
        <f t="shared" si="35"/>
        <v>0</v>
      </c>
      <c r="Q95" s="13"/>
      <c r="R95" s="12">
        <f t="shared" si="36"/>
        <v>2471000</v>
      </c>
      <c r="S95" s="12">
        <f t="shared" si="36"/>
        <v>3401476.73</v>
      </c>
      <c r="T95" s="14">
        <f t="shared" si="37"/>
        <v>-930476.73</v>
      </c>
      <c r="U95" s="17">
        <f t="shared" si="26"/>
        <v>1.3765587737757992</v>
      </c>
    </row>
    <row r="96" spans="2:21" ht="24.95" customHeight="1">
      <c r="B96" s="18"/>
      <c r="C96" s="10"/>
      <c r="D96" s="10"/>
      <c r="E96" s="22" t="s">
        <v>89</v>
      </c>
      <c r="F96" s="12">
        <v>5744000</v>
      </c>
      <c r="G96" s="12">
        <v>9174447.5800000001</v>
      </c>
      <c r="H96" s="12">
        <f t="shared" si="33"/>
        <v>-3430447.58</v>
      </c>
      <c r="I96" s="13"/>
      <c r="J96" s="12"/>
      <c r="K96" s="12"/>
      <c r="L96" s="12">
        <f t="shared" si="34"/>
        <v>0</v>
      </c>
      <c r="M96" s="12"/>
      <c r="N96" s="12"/>
      <c r="O96" s="12"/>
      <c r="P96" s="12">
        <f t="shared" si="35"/>
        <v>0</v>
      </c>
      <c r="Q96" s="13"/>
      <c r="R96" s="12">
        <f t="shared" si="36"/>
        <v>5744000</v>
      </c>
      <c r="S96" s="12">
        <f t="shared" si="36"/>
        <v>9174447.5800000001</v>
      </c>
      <c r="T96" s="14">
        <f t="shared" si="37"/>
        <v>-3430447.58</v>
      </c>
      <c r="U96" s="17">
        <f t="shared" si="26"/>
        <v>1.5972227681058495</v>
      </c>
    </row>
    <row r="97" spans="2:25" ht="24.95" customHeight="1">
      <c r="B97" s="18"/>
      <c r="C97" s="10"/>
      <c r="D97" s="10"/>
      <c r="E97" s="28" t="s">
        <v>90</v>
      </c>
      <c r="F97" s="12">
        <v>1478000</v>
      </c>
      <c r="G97" s="12">
        <v>6474006.9199999999</v>
      </c>
      <c r="H97" s="12">
        <f t="shared" si="33"/>
        <v>-4996006.92</v>
      </c>
      <c r="I97" s="13"/>
      <c r="J97" s="12"/>
      <c r="K97" s="12"/>
      <c r="L97" s="12">
        <f t="shared" si="34"/>
        <v>0</v>
      </c>
      <c r="M97" s="12"/>
      <c r="N97" s="12"/>
      <c r="O97" s="12"/>
      <c r="P97" s="12">
        <f t="shared" si="35"/>
        <v>0</v>
      </c>
      <c r="Q97" s="13"/>
      <c r="R97" s="12">
        <f t="shared" si="36"/>
        <v>1478000</v>
      </c>
      <c r="S97" s="12">
        <f t="shared" si="36"/>
        <v>6474006.9199999999</v>
      </c>
      <c r="T97" s="14">
        <f t="shared" si="37"/>
        <v>-4996006.92</v>
      </c>
      <c r="U97" s="17">
        <f t="shared" si="26"/>
        <v>4.3802482543978352</v>
      </c>
    </row>
    <row r="98" spans="2:25" ht="28.5" customHeight="1">
      <c r="B98" s="18"/>
      <c r="C98" s="10"/>
      <c r="D98" s="10"/>
      <c r="E98" s="43" t="s">
        <v>91</v>
      </c>
      <c r="F98" s="12">
        <v>6371000</v>
      </c>
      <c r="G98" s="12">
        <v>5142458.01</v>
      </c>
      <c r="H98" s="12">
        <f t="shared" si="33"/>
        <v>1228541.9900000002</v>
      </c>
      <c r="I98" s="13"/>
      <c r="J98" s="12"/>
      <c r="K98" s="12"/>
      <c r="L98" s="12">
        <f t="shared" si="34"/>
        <v>0</v>
      </c>
      <c r="M98" s="12"/>
      <c r="N98" s="12"/>
      <c r="O98" s="12"/>
      <c r="P98" s="12">
        <f t="shared" si="35"/>
        <v>0</v>
      </c>
      <c r="Q98" s="13"/>
      <c r="R98" s="12">
        <f>+F98+J98+N98</f>
        <v>6371000</v>
      </c>
      <c r="S98" s="12">
        <f>+G98+K98+O98</f>
        <v>5142458.01</v>
      </c>
      <c r="T98" s="14">
        <f t="shared" si="37"/>
        <v>1228541.9900000002</v>
      </c>
      <c r="U98" s="17">
        <f t="shared" si="26"/>
        <v>0.80716653743525346</v>
      </c>
    </row>
    <row r="99" spans="2:25" ht="24.95" customHeight="1">
      <c r="B99" s="18"/>
      <c r="C99" s="10"/>
      <c r="D99" s="10"/>
      <c r="E99" s="43"/>
      <c r="F99" s="12"/>
      <c r="G99" s="12"/>
      <c r="H99" s="12"/>
      <c r="I99" s="13"/>
      <c r="J99" s="12"/>
      <c r="K99" s="12"/>
      <c r="L99" s="12"/>
      <c r="M99" s="12"/>
      <c r="N99" s="12"/>
      <c r="O99" s="12"/>
      <c r="P99" s="12"/>
      <c r="Q99" s="13"/>
      <c r="R99" s="12"/>
      <c r="S99" s="12"/>
      <c r="T99" s="14"/>
      <c r="U99" s="17"/>
    </row>
    <row r="100" spans="2:25" ht="24.95" customHeight="1">
      <c r="B100" s="18"/>
      <c r="C100" s="20" t="s">
        <v>92</v>
      </c>
      <c r="D100" s="20"/>
      <c r="E100" s="10"/>
      <c r="F100" s="12"/>
      <c r="G100" s="12"/>
      <c r="H100" s="12"/>
      <c r="I100" s="13"/>
      <c r="J100" s="12"/>
      <c r="K100" s="12"/>
      <c r="L100" s="12"/>
      <c r="M100" s="12"/>
      <c r="N100" s="12"/>
      <c r="O100" s="12"/>
      <c r="P100" s="12"/>
      <c r="Q100" s="13"/>
      <c r="R100" s="12"/>
      <c r="S100" s="12"/>
      <c r="T100" s="14"/>
      <c r="U100" s="17"/>
    </row>
    <row r="101" spans="2:25" ht="24.95" customHeight="1">
      <c r="B101" s="18"/>
      <c r="C101" s="20"/>
      <c r="D101" s="20"/>
      <c r="E101" s="10" t="s">
        <v>93</v>
      </c>
      <c r="F101" s="12">
        <v>11880000</v>
      </c>
      <c r="G101" s="12">
        <v>11880000</v>
      </c>
      <c r="H101" s="12">
        <f>+F101-G101</f>
        <v>0</v>
      </c>
      <c r="I101" s="13"/>
      <c r="J101" s="12">
        <v>50000000</v>
      </c>
      <c r="K101" s="12">
        <v>110487876.03</v>
      </c>
      <c r="L101" s="12">
        <f>+J101-K101</f>
        <v>-60487876.030000001</v>
      </c>
      <c r="M101" s="12"/>
      <c r="N101" s="12"/>
      <c r="O101" s="12"/>
      <c r="P101" s="12">
        <f>+N101-O101</f>
        <v>0</v>
      </c>
      <c r="Q101" s="13"/>
      <c r="R101" s="12">
        <f t="shared" ref="R101:S103" si="38">+F101+J101+N101</f>
        <v>61880000</v>
      </c>
      <c r="S101" s="12">
        <f t="shared" si="38"/>
        <v>122367876.03</v>
      </c>
      <c r="T101" s="14">
        <f>+R101-S101</f>
        <v>-60487876.030000001</v>
      </c>
      <c r="U101" s="17">
        <f t="shared" si="26"/>
        <v>1.9775028446994183</v>
      </c>
    </row>
    <row r="102" spans="2:25" ht="29.25" customHeight="1">
      <c r="B102" s="18"/>
      <c r="C102" s="10"/>
      <c r="D102" s="10"/>
      <c r="E102" s="22" t="s">
        <v>94</v>
      </c>
      <c r="F102" s="12">
        <v>18239000</v>
      </c>
      <c r="G102" s="12">
        <v>23124970.149999999</v>
      </c>
      <c r="H102" s="12">
        <f>+F102-G102</f>
        <v>-4885970.1499999985</v>
      </c>
      <c r="I102" s="13"/>
      <c r="J102" s="12"/>
      <c r="K102" s="12"/>
      <c r="L102" s="12">
        <f>+J102-K102</f>
        <v>0</v>
      </c>
      <c r="M102" s="12"/>
      <c r="N102" s="12"/>
      <c r="O102" s="12"/>
      <c r="P102" s="12">
        <f>+N102-O102</f>
        <v>0</v>
      </c>
      <c r="Q102" s="13"/>
      <c r="R102" s="12">
        <f t="shared" si="38"/>
        <v>18239000</v>
      </c>
      <c r="S102" s="12">
        <f t="shared" si="38"/>
        <v>23124970.149999999</v>
      </c>
      <c r="T102" s="14">
        <f>+R102-S102</f>
        <v>-4885970.1499999985</v>
      </c>
      <c r="U102" s="17">
        <f t="shared" si="26"/>
        <v>1.2678858572290146</v>
      </c>
    </row>
    <row r="103" spans="2:25" ht="29.25" customHeight="1">
      <c r="B103" s="18"/>
      <c r="C103" s="10"/>
      <c r="D103" s="10"/>
      <c r="E103" s="22" t="s">
        <v>95</v>
      </c>
      <c r="F103" s="12">
        <v>1637000</v>
      </c>
      <c r="G103" s="12">
        <v>1636945.12</v>
      </c>
      <c r="H103" s="12">
        <f>+F103-G103</f>
        <v>54.879999999888241</v>
      </c>
      <c r="I103" s="13"/>
      <c r="J103" s="12"/>
      <c r="K103" s="12"/>
      <c r="L103" s="12">
        <f>+J103-K103</f>
        <v>0</v>
      </c>
      <c r="M103" s="12"/>
      <c r="N103" s="12"/>
      <c r="O103" s="12"/>
      <c r="P103" s="12">
        <f>+N103-O103</f>
        <v>0</v>
      </c>
      <c r="Q103" s="13"/>
      <c r="R103" s="12">
        <f t="shared" si="38"/>
        <v>1637000</v>
      </c>
      <c r="S103" s="12">
        <f t="shared" si="38"/>
        <v>1636945.12</v>
      </c>
      <c r="T103" s="14">
        <f>+R103-S103</f>
        <v>54.879999999888241</v>
      </c>
      <c r="U103" s="17">
        <f t="shared" si="26"/>
        <v>0.99996647525962135</v>
      </c>
    </row>
    <row r="104" spans="2:25" ht="27.75" customHeight="1">
      <c r="B104" s="18"/>
      <c r="C104" s="10"/>
      <c r="D104" s="10"/>
      <c r="E104" s="31" t="s">
        <v>51</v>
      </c>
      <c r="F104" s="32">
        <f>SUM(F85:F103)</f>
        <v>266545680</v>
      </c>
      <c r="G104" s="32">
        <f t="shared" ref="G104:S104" si="39">SUM(G85:G103)</f>
        <v>255656376.37</v>
      </c>
      <c r="H104" s="32">
        <f t="shared" si="39"/>
        <v>10889303.630000006</v>
      </c>
      <c r="I104" s="32">
        <f t="shared" si="39"/>
        <v>0</v>
      </c>
      <c r="J104" s="32">
        <f>SUM(J85:J103)</f>
        <v>68782000</v>
      </c>
      <c r="K104" s="32">
        <f>SUM(K85:K103)</f>
        <v>129269876.03</v>
      </c>
      <c r="L104" s="32">
        <f>SUM(L85:L103)</f>
        <v>-60487876.030000001</v>
      </c>
      <c r="M104" s="32">
        <f t="shared" si="39"/>
        <v>0</v>
      </c>
      <c r="N104" s="32">
        <f>SUM(N85:N103)</f>
        <v>1092074.54</v>
      </c>
      <c r="O104" s="32">
        <f>SUM(O85:O103)</f>
        <v>29254034.469999999</v>
      </c>
      <c r="P104" s="32">
        <f>SUM(P85:P103)</f>
        <v>-28161959.93</v>
      </c>
      <c r="Q104" s="32">
        <f t="shared" si="39"/>
        <v>0</v>
      </c>
      <c r="R104" s="32">
        <f t="shared" si="39"/>
        <v>336419754.53999996</v>
      </c>
      <c r="S104" s="32">
        <f t="shared" si="39"/>
        <v>414180286.86999995</v>
      </c>
      <c r="T104" s="34">
        <f>SUM(T85:T103)</f>
        <v>-77760532.329999983</v>
      </c>
      <c r="U104" s="17">
        <f t="shared" si="26"/>
        <v>1.2311413978537766</v>
      </c>
    </row>
    <row r="105" spans="2:25" ht="24.95" customHeight="1">
      <c r="B105" s="18"/>
      <c r="C105" s="10"/>
      <c r="D105" s="10"/>
      <c r="E105" s="22"/>
      <c r="F105" s="12"/>
      <c r="G105" s="12"/>
      <c r="H105" s="12"/>
      <c r="I105" s="13"/>
      <c r="J105" s="12"/>
      <c r="K105" s="12"/>
      <c r="L105" s="12"/>
      <c r="M105" s="12"/>
      <c r="N105" s="12"/>
      <c r="O105" s="12"/>
      <c r="P105" s="12"/>
      <c r="Q105" s="13"/>
      <c r="R105" s="12"/>
      <c r="S105" s="12"/>
      <c r="T105" s="14"/>
      <c r="U105" s="17"/>
      <c r="Y105" s="2" t="s">
        <v>96</v>
      </c>
    </row>
    <row r="106" spans="2:25" ht="24.95" customHeight="1">
      <c r="B106" s="18"/>
      <c r="C106" s="24" t="s">
        <v>97</v>
      </c>
      <c r="D106" s="10"/>
      <c r="E106" s="22"/>
      <c r="F106" s="12">
        <f>SUM(F108:F136)</f>
        <v>464802643</v>
      </c>
      <c r="G106" s="12">
        <f>SUM(G108:G136)</f>
        <v>570204054.70000005</v>
      </c>
      <c r="H106" s="12">
        <f t="shared" ref="H106:T106" si="40">SUM(H108:H136)</f>
        <v>-105401411.69999999</v>
      </c>
      <c r="I106" s="12">
        <f t="shared" si="40"/>
        <v>0</v>
      </c>
      <c r="J106" s="12">
        <f>SUM(J108:J136)</f>
        <v>39300000</v>
      </c>
      <c r="K106" s="12">
        <f>SUM(K108:K136)</f>
        <v>97597702.620000005</v>
      </c>
      <c r="L106" s="12">
        <f>SUM(L108:L136)</f>
        <v>-58297702.619999997</v>
      </c>
      <c r="M106" s="12">
        <f t="shared" si="40"/>
        <v>0</v>
      </c>
      <c r="N106" s="12">
        <f>SUM(N108:N136)</f>
        <v>6303266.6600000001</v>
      </c>
      <c r="O106" s="12">
        <f>SUM(O108:O136)</f>
        <v>8439337.5999999996</v>
      </c>
      <c r="P106" s="12">
        <f>SUM(P108:P136)</f>
        <v>-2136070.9399999995</v>
      </c>
      <c r="Q106" s="12">
        <f t="shared" si="40"/>
        <v>0</v>
      </c>
      <c r="R106" s="12">
        <f t="shared" si="40"/>
        <v>510405909.65999997</v>
      </c>
      <c r="S106" s="12">
        <f t="shared" si="40"/>
        <v>676241094.92000008</v>
      </c>
      <c r="T106" s="14">
        <f t="shared" si="40"/>
        <v>-165835185.26000002</v>
      </c>
      <c r="U106" s="17">
        <f>+S106/R106</f>
        <v>1.32490843487778</v>
      </c>
    </row>
    <row r="107" spans="2:25" ht="24.95" customHeight="1">
      <c r="B107" s="18"/>
      <c r="C107" s="20" t="s">
        <v>98</v>
      </c>
      <c r="D107" s="20"/>
      <c r="E107" s="10"/>
      <c r="F107" s="12"/>
      <c r="G107" s="12"/>
      <c r="H107" s="12">
        <f t="shared" ref="H107:H115" si="41">+F107-G107</f>
        <v>0</v>
      </c>
      <c r="I107" s="13"/>
      <c r="J107" s="12"/>
      <c r="K107" s="12"/>
      <c r="L107" s="12">
        <f t="shared" ref="L107:L115" si="42">+J107-K107</f>
        <v>0</v>
      </c>
      <c r="M107" s="12"/>
      <c r="N107" s="12"/>
      <c r="O107" s="12"/>
      <c r="P107" s="12">
        <f t="shared" ref="P107:P115" si="43">+N107-O107</f>
        <v>0</v>
      </c>
      <c r="Q107" s="13"/>
      <c r="R107" s="12"/>
      <c r="S107" s="12"/>
      <c r="T107" s="14"/>
      <c r="U107" s="17"/>
    </row>
    <row r="108" spans="2:25" ht="24.95" customHeight="1">
      <c r="B108" s="18"/>
      <c r="C108" s="20"/>
      <c r="D108" s="20"/>
      <c r="E108" s="10" t="s">
        <v>99</v>
      </c>
      <c r="F108" s="12">
        <v>37753000</v>
      </c>
      <c r="G108" s="12">
        <v>47109333.689999998</v>
      </c>
      <c r="H108" s="12">
        <f t="shared" si="41"/>
        <v>-9356333.6899999976</v>
      </c>
      <c r="I108" s="13"/>
      <c r="J108" s="12"/>
      <c r="K108" s="12">
        <v>15139797.109999999</v>
      </c>
      <c r="L108" s="12">
        <f t="shared" si="42"/>
        <v>-15139797.109999999</v>
      </c>
      <c r="M108" s="12"/>
      <c r="N108" s="12">
        <v>2058146</v>
      </c>
      <c r="O108" s="12">
        <v>2058145.01</v>
      </c>
      <c r="P108" s="12">
        <f t="shared" si="43"/>
        <v>0.98999999999068677</v>
      </c>
      <c r="Q108" s="13"/>
      <c r="R108" s="12">
        <f t="shared" ref="R108:S115" si="44">+F108+J108+N108</f>
        <v>39811146</v>
      </c>
      <c r="S108" s="12">
        <f t="shared" si="44"/>
        <v>64307275.809999995</v>
      </c>
      <c r="T108" s="14">
        <f t="shared" ref="T108:T115" si="45">+R108-S108</f>
        <v>-24496129.809999995</v>
      </c>
      <c r="U108" s="17">
        <f t="shared" si="26"/>
        <v>1.6153083312396985</v>
      </c>
    </row>
    <row r="109" spans="2:25" ht="27" customHeight="1">
      <c r="B109" s="18"/>
      <c r="C109" s="10"/>
      <c r="D109" s="10"/>
      <c r="E109" s="22" t="s">
        <v>100</v>
      </c>
      <c r="F109" s="12">
        <v>30563000</v>
      </c>
      <c r="G109" s="12">
        <v>30772921.73</v>
      </c>
      <c r="H109" s="12">
        <f t="shared" si="41"/>
        <v>-209921.73000000045</v>
      </c>
      <c r="I109" s="13"/>
      <c r="J109" s="12"/>
      <c r="K109" s="12"/>
      <c r="L109" s="12">
        <f t="shared" si="42"/>
        <v>0</v>
      </c>
      <c r="M109" s="12"/>
      <c r="N109" s="12"/>
      <c r="O109" s="12">
        <v>2136073</v>
      </c>
      <c r="P109" s="12">
        <f t="shared" si="43"/>
        <v>-2136073</v>
      </c>
      <c r="Q109" s="13"/>
      <c r="R109" s="12">
        <f t="shared" si="44"/>
        <v>30563000</v>
      </c>
      <c r="S109" s="12">
        <f t="shared" si="44"/>
        <v>32908994.73</v>
      </c>
      <c r="T109" s="14">
        <f t="shared" si="45"/>
        <v>-2345994.7300000004</v>
      </c>
      <c r="U109" s="17">
        <f t="shared" si="26"/>
        <v>1.0767593079867814</v>
      </c>
    </row>
    <row r="110" spans="2:25" ht="27" customHeight="1">
      <c r="B110" s="18"/>
      <c r="C110" s="10"/>
      <c r="D110" s="10"/>
      <c r="E110" s="22" t="s">
        <v>101</v>
      </c>
      <c r="F110" s="12">
        <v>6756000</v>
      </c>
      <c r="G110" s="12">
        <v>3774298.99</v>
      </c>
      <c r="H110" s="12">
        <f t="shared" si="41"/>
        <v>2981701.01</v>
      </c>
      <c r="I110" s="13"/>
      <c r="J110" s="12"/>
      <c r="K110" s="12"/>
      <c r="L110" s="12">
        <f t="shared" si="42"/>
        <v>0</v>
      </c>
      <c r="M110" s="12"/>
      <c r="N110" s="12"/>
      <c r="O110" s="12"/>
      <c r="P110" s="12">
        <f t="shared" si="43"/>
        <v>0</v>
      </c>
      <c r="Q110" s="13"/>
      <c r="R110" s="12">
        <f t="shared" si="44"/>
        <v>6756000</v>
      </c>
      <c r="S110" s="12">
        <f t="shared" si="44"/>
        <v>3774298.99</v>
      </c>
      <c r="T110" s="14">
        <f t="shared" si="45"/>
        <v>2981701.01</v>
      </c>
      <c r="U110" s="17">
        <f t="shared" si="26"/>
        <v>0.5586588203078745</v>
      </c>
    </row>
    <row r="111" spans="2:25" ht="29.25" customHeight="1">
      <c r="B111" s="18"/>
      <c r="C111" s="10"/>
      <c r="D111" s="10"/>
      <c r="E111" s="22" t="s">
        <v>102</v>
      </c>
      <c r="F111" s="12">
        <v>1316000</v>
      </c>
      <c r="G111" s="12">
        <v>1329016.0700000003</v>
      </c>
      <c r="H111" s="12">
        <f t="shared" si="41"/>
        <v>-13016.070000000298</v>
      </c>
      <c r="I111" s="13"/>
      <c r="J111" s="12"/>
      <c r="K111" s="12"/>
      <c r="L111" s="12">
        <f t="shared" si="42"/>
        <v>0</v>
      </c>
      <c r="M111" s="12"/>
      <c r="N111" s="12"/>
      <c r="O111" s="12"/>
      <c r="P111" s="12">
        <f t="shared" si="43"/>
        <v>0</v>
      </c>
      <c r="Q111" s="13"/>
      <c r="R111" s="12">
        <f t="shared" si="44"/>
        <v>1316000</v>
      </c>
      <c r="S111" s="12">
        <f t="shared" si="44"/>
        <v>1329016.0700000003</v>
      </c>
      <c r="T111" s="14">
        <f t="shared" si="45"/>
        <v>-13016.070000000298</v>
      </c>
      <c r="U111" s="17">
        <f t="shared" si="26"/>
        <v>1.0098906306990885</v>
      </c>
    </row>
    <row r="112" spans="2:25" ht="24.95" customHeight="1">
      <c r="B112" s="18"/>
      <c r="C112" s="10"/>
      <c r="D112" s="10"/>
      <c r="E112" s="28" t="s">
        <v>103</v>
      </c>
      <c r="F112" s="12">
        <v>893000</v>
      </c>
      <c r="G112" s="12">
        <v>1100105.29</v>
      </c>
      <c r="H112" s="12">
        <f t="shared" si="41"/>
        <v>-207105.29000000004</v>
      </c>
      <c r="I112" s="13"/>
      <c r="J112" s="12"/>
      <c r="K112" s="12"/>
      <c r="L112" s="12">
        <f t="shared" si="42"/>
        <v>0</v>
      </c>
      <c r="M112" s="12"/>
      <c r="N112" s="12"/>
      <c r="O112" s="12"/>
      <c r="P112" s="12">
        <f t="shared" si="43"/>
        <v>0</v>
      </c>
      <c r="Q112" s="13"/>
      <c r="R112" s="12">
        <f t="shared" si="44"/>
        <v>893000</v>
      </c>
      <c r="S112" s="12">
        <f t="shared" si="44"/>
        <v>1100105.29</v>
      </c>
      <c r="T112" s="14">
        <f t="shared" si="45"/>
        <v>-207105.29000000004</v>
      </c>
      <c r="U112" s="17">
        <f t="shared" si="26"/>
        <v>1.2319208174692049</v>
      </c>
    </row>
    <row r="113" spans="2:22" ht="24.95" customHeight="1">
      <c r="B113" s="18"/>
      <c r="C113" s="10"/>
      <c r="D113" s="10"/>
      <c r="E113" s="22" t="s">
        <v>104</v>
      </c>
      <c r="F113" s="12">
        <v>2813000</v>
      </c>
      <c r="G113" s="12">
        <v>2788431.55</v>
      </c>
      <c r="H113" s="12">
        <f t="shared" si="41"/>
        <v>24568.450000000186</v>
      </c>
      <c r="I113" s="13"/>
      <c r="J113" s="12"/>
      <c r="K113" s="12"/>
      <c r="L113" s="12">
        <f t="shared" si="42"/>
        <v>0</v>
      </c>
      <c r="M113" s="12"/>
      <c r="N113" s="12"/>
      <c r="O113" s="12"/>
      <c r="P113" s="12">
        <f t="shared" si="43"/>
        <v>0</v>
      </c>
      <c r="Q113" s="13"/>
      <c r="R113" s="12">
        <f t="shared" si="44"/>
        <v>2813000</v>
      </c>
      <c r="S113" s="12">
        <f t="shared" si="44"/>
        <v>2788431.55</v>
      </c>
      <c r="T113" s="14">
        <f t="shared" si="45"/>
        <v>24568.450000000186</v>
      </c>
      <c r="U113" s="17">
        <f t="shared" si="26"/>
        <v>0.99126610380376812</v>
      </c>
    </row>
    <row r="114" spans="2:22" ht="29.25" customHeight="1">
      <c r="B114" s="18"/>
      <c r="C114" s="10"/>
      <c r="D114" s="10"/>
      <c r="E114" s="22" t="s">
        <v>105</v>
      </c>
      <c r="F114" s="12">
        <v>16725774</v>
      </c>
      <c r="G114" s="12">
        <v>9567464.1799999997</v>
      </c>
      <c r="H114" s="12">
        <f t="shared" si="41"/>
        <v>7158309.8200000003</v>
      </c>
      <c r="I114" s="13"/>
      <c r="J114" s="12"/>
      <c r="K114" s="12"/>
      <c r="L114" s="12">
        <f t="shared" si="42"/>
        <v>0</v>
      </c>
      <c r="M114" s="12"/>
      <c r="N114" s="12"/>
      <c r="O114" s="12"/>
      <c r="P114" s="12">
        <f t="shared" si="43"/>
        <v>0</v>
      </c>
      <c r="Q114" s="13"/>
      <c r="R114" s="12">
        <f t="shared" si="44"/>
        <v>16725774</v>
      </c>
      <c r="S114" s="12">
        <f t="shared" si="44"/>
        <v>9567464.1799999997</v>
      </c>
      <c r="T114" s="14">
        <f t="shared" si="45"/>
        <v>7158309.8200000003</v>
      </c>
      <c r="U114" s="17">
        <f t="shared" si="26"/>
        <v>0.57201921896110752</v>
      </c>
    </row>
    <row r="115" spans="2:22" ht="29.25" customHeight="1">
      <c r="B115" s="18"/>
      <c r="C115" s="10"/>
      <c r="D115" s="10"/>
      <c r="E115" s="21" t="s">
        <v>106</v>
      </c>
      <c r="F115" s="12">
        <v>12488000</v>
      </c>
      <c r="G115" s="12">
        <v>15976301.060000001</v>
      </c>
      <c r="H115" s="12">
        <f t="shared" si="41"/>
        <v>-3488301.0600000005</v>
      </c>
      <c r="I115" s="13"/>
      <c r="J115" s="12"/>
      <c r="K115" s="12"/>
      <c r="L115" s="12">
        <f t="shared" si="42"/>
        <v>0</v>
      </c>
      <c r="M115" s="12"/>
      <c r="N115" s="12"/>
      <c r="O115" s="12"/>
      <c r="P115" s="12">
        <f t="shared" si="43"/>
        <v>0</v>
      </c>
      <c r="Q115" s="13"/>
      <c r="R115" s="12">
        <f t="shared" si="44"/>
        <v>12488000</v>
      </c>
      <c r="S115" s="12">
        <f t="shared" si="44"/>
        <v>15976301.060000001</v>
      </c>
      <c r="T115" s="14">
        <f t="shared" si="45"/>
        <v>-3488301.0600000005</v>
      </c>
      <c r="U115" s="17">
        <f t="shared" si="26"/>
        <v>1.2793322437540038</v>
      </c>
    </row>
    <row r="116" spans="2:22" ht="24.95" customHeight="1">
      <c r="B116" s="18"/>
      <c r="C116" s="10"/>
      <c r="D116" s="10"/>
      <c r="E116" s="28"/>
      <c r="F116" s="12"/>
      <c r="G116" s="12"/>
      <c r="H116" s="12"/>
      <c r="I116" s="13"/>
      <c r="J116" s="12"/>
      <c r="K116" s="12"/>
      <c r="L116" s="12"/>
      <c r="M116" s="12"/>
      <c r="N116" s="12"/>
      <c r="O116" s="12"/>
      <c r="P116" s="12"/>
      <c r="Q116" s="13"/>
      <c r="R116" s="12"/>
      <c r="S116" s="12"/>
      <c r="T116" s="14"/>
      <c r="U116" s="17"/>
    </row>
    <row r="117" spans="2:22" ht="24.95" customHeight="1">
      <c r="B117" s="18"/>
      <c r="C117" s="20" t="s">
        <v>107</v>
      </c>
      <c r="D117" s="20"/>
      <c r="E117" s="10"/>
      <c r="F117" s="12"/>
      <c r="G117" s="12"/>
      <c r="H117" s="12"/>
      <c r="I117" s="13"/>
      <c r="J117" s="12"/>
      <c r="K117" s="12"/>
      <c r="L117" s="12"/>
      <c r="M117" s="12"/>
      <c r="N117" s="12"/>
      <c r="O117" s="12"/>
      <c r="P117" s="12"/>
      <c r="Q117" s="13"/>
      <c r="R117" s="12"/>
      <c r="S117" s="12"/>
      <c r="T117" s="14"/>
      <c r="U117" s="17"/>
    </row>
    <row r="118" spans="2:22" ht="24.95" customHeight="1">
      <c r="B118" s="18"/>
      <c r="C118" s="20"/>
      <c r="D118" s="20"/>
      <c r="E118" s="10" t="s">
        <v>108</v>
      </c>
      <c r="F118" s="12">
        <v>25501000</v>
      </c>
      <c r="G118" s="12">
        <v>70883743.010000005</v>
      </c>
      <c r="H118" s="12">
        <f>+F118-G118</f>
        <v>-45382743.010000005</v>
      </c>
      <c r="I118" s="13"/>
      <c r="J118" s="12"/>
      <c r="K118" s="12">
        <v>29375707.41</v>
      </c>
      <c r="L118" s="12">
        <f>+J118-K118</f>
        <v>-29375707.41</v>
      </c>
      <c r="M118" s="12"/>
      <c r="N118" s="12">
        <v>0</v>
      </c>
      <c r="O118" s="12">
        <v>0</v>
      </c>
      <c r="P118" s="12">
        <f>+N118-O118</f>
        <v>0</v>
      </c>
      <c r="Q118" s="13"/>
      <c r="R118" s="12">
        <f t="shared" ref="R118:S121" si="46">+F118+J118+N118</f>
        <v>25501000</v>
      </c>
      <c r="S118" s="12">
        <f t="shared" si="46"/>
        <v>100259450.42</v>
      </c>
      <c r="T118" s="14">
        <f>+R118-S118</f>
        <v>-74758450.420000002</v>
      </c>
      <c r="U118" s="17">
        <f t="shared" si="26"/>
        <v>3.9315889737657348</v>
      </c>
    </row>
    <row r="119" spans="2:22" ht="28.5" customHeight="1">
      <c r="B119" s="18"/>
      <c r="C119" s="10"/>
      <c r="D119" s="10"/>
      <c r="E119" s="21" t="s">
        <v>109</v>
      </c>
      <c r="F119" s="12">
        <v>23184000</v>
      </c>
      <c r="G119" s="12">
        <v>37337609.43</v>
      </c>
      <c r="H119" s="12">
        <f>+F119-G119</f>
        <v>-14153609.43</v>
      </c>
      <c r="I119" s="13"/>
      <c r="J119" s="12">
        <v>39300000</v>
      </c>
      <c r="K119" s="12">
        <v>39300000</v>
      </c>
      <c r="L119" s="12">
        <f>+J119-K119</f>
        <v>0</v>
      </c>
      <c r="M119" s="12"/>
      <c r="N119" s="12">
        <v>484434</v>
      </c>
      <c r="O119" s="12">
        <v>484433.34</v>
      </c>
      <c r="P119" s="12">
        <f>+N119-O119</f>
        <v>0.65999999997438863</v>
      </c>
      <c r="Q119" s="13"/>
      <c r="R119" s="12">
        <f t="shared" si="46"/>
        <v>62968434</v>
      </c>
      <c r="S119" s="12">
        <f t="shared" si="46"/>
        <v>77122042.770000011</v>
      </c>
      <c r="T119" s="14">
        <f>+R119-S119</f>
        <v>-14153608.770000011</v>
      </c>
      <c r="U119" s="17">
        <f t="shared" si="26"/>
        <v>1.2247730786825668</v>
      </c>
    </row>
    <row r="120" spans="2:22" ht="28.5" customHeight="1">
      <c r="B120" s="18"/>
      <c r="C120" s="10"/>
      <c r="D120" s="10"/>
      <c r="E120" s="21" t="s">
        <v>110</v>
      </c>
      <c r="F120" s="12">
        <v>9649753</v>
      </c>
      <c r="G120" s="12">
        <v>12413083.359999999</v>
      </c>
      <c r="H120" s="12">
        <f>+F120-G120</f>
        <v>-2763330.3599999994</v>
      </c>
      <c r="I120" s="13"/>
      <c r="J120" s="12"/>
      <c r="K120" s="12"/>
      <c r="L120" s="12">
        <f>+J120-K120</f>
        <v>0</v>
      </c>
      <c r="M120" s="12"/>
      <c r="N120" s="12">
        <v>0</v>
      </c>
      <c r="O120" s="12">
        <v>0</v>
      </c>
      <c r="P120" s="12">
        <f>+N120-O120</f>
        <v>0</v>
      </c>
      <c r="Q120" s="13"/>
      <c r="R120" s="12">
        <f t="shared" si="46"/>
        <v>9649753</v>
      </c>
      <c r="S120" s="12">
        <f t="shared" si="46"/>
        <v>12413083.359999999</v>
      </c>
      <c r="T120" s="14">
        <f>+R120-S120</f>
        <v>-2763330.3599999994</v>
      </c>
      <c r="U120" s="17">
        <f t="shared" si="26"/>
        <v>1.2863628074210811</v>
      </c>
    </row>
    <row r="121" spans="2:22" ht="28.5" customHeight="1">
      <c r="B121" s="18"/>
      <c r="C121" s="10"/>
      <c r="D121" s="10"/>
      <c r="E121" s="22" t="s">
        <v>111</v>
      </c>
      <c r="F121" s="12">
        <v>8897939</v>
      </c>
      <c r="G121" s="12">
        <v>4543611.43</v>
      </c>
      <c r="H121" s="12">
        <f>+F121-G121</f>
        <v>4354327.57</v>
      </c>
      <c r="I121" s="13"/>
      <c r="J121" s="12"/>
      <c r="K121" s="12"/>
      <c r="L121" s="12">
        <f>+J121-K121</f>
        <v>0</v>
      </c>
      <c r="M121" s="12"/>
      <c r="N121" s="12">
        <v>0</v>
      </c>
      <c r="O121" s="12">
        <v>0</v>
      </c>
      <c r="P121" s="12">
        <f>+N121-O121</f>
        <v>0</v>
      </c>
      <c r="Q121" s="13"/>
      <c r="R121" s="12">
        <f t="shared" si="46"/>
        <v>8897939</v>
      </c>
      <c r="S121" s="12">
        <f t="shared" si="46"/>
        <v>4543611.43</v>
      </c>
      <c r="T121" s="14">
        <f>+R121-S121</f>
        <v>4354327.57</v>
      </c>
      <c r="U121" s="17">
        <f t="shared" si="26"/>
        <v>0.51063638781969622</v>
      </c>
    </row>
    <row r="122" spans="2:22" ht="24.95" customHeight="1">
      <c r="B122" s="18"/>
      <c r="C122" s="10"/>
      <c r="D122" s="10"/>
      <c r="E122" s="22"/>
      <c r="F122" s="12"/>
      <c r="G122" s="12"/>
      <c r="H122" s="12"/>
      <c r="I122" s="13"/>
      <c r="J122" s="12"/>
      <c r="K122" s="12"/>
      <c r="L122" s="12"/>
      <c r="M122" s="12"/>
      <c r="N122" s="12"/>
      <c r="O122" s="12"/>
      <c r="P122" s="12"/>
      <c r="Q122" s="13"/>
      <c r="R122" s="12"/>
      <c r="S122" s="12"/>
      <c r="T122" s="14"/>
      <c r="U122" s="17"/>
    </row>
    <row r="123" spans="2:22" ht="24.95" customHeight="1">
      <c r="B123" s="18"/>
      <c r="C123" s="20" t="s">
        <v>112</v>
      </c>
      <c r="D123" s="20"/>
      <c r="E123" s="10"/>
      <c r="F123" s="12"/>
      <c r="G123" s="12"/>
      <c r="H123" s="12"/>
      <c r="I123" s="13"/>
      <c r="J123" s="12"/>
      <c r="K123" s="12"/>
      <c r="L123" s="12"/>
      <c r="M123" s="12"/>
      <c r="N123" s="12"/>
      <c r="O123" s="12"/>
      <c r="P123" s="12"/>
      <c r="Q123" s="13"/>
      <c r="R123" s="12"/>
      <c r="S123" s="12"/>
      <c r="T123" s="14"/>
      <c r="U123" s="17"/>
    </row>
    <row r="124" spans="2:22" ht="24.95" customHeight="1">
      <c r="B124" s="18"/>
      <c r="C124" s="20"/>
      <c r="D124" s="20"/>
      <c r="E124" s="10" t="s">
        <v>113</v>
      </c>
      <c r="F124" s="12">
        <v>74222000</v>
      </c>
      <c r="G124" s="12">
        <v>35107116.43</v>
      </c>
      <c r="H124" s="12">
        <f>+F124-G124</f>
        <v>39114883.57</v>
      </c>
      <c r="I124" s="13"/>
      <c r="J124" s="12"/>
      <c r="K124" s="12"/>
      <c r="L124" s="12">
        <f>+J124-K124</f>
        <v>0</v>
      </c>
      <c r="M124" s="12"/>
      <c r="N124" s="12"/>
      <c r="O124" s="12"/>
      <c r="P124" s="12">
        <f>+N124-O124</f>
        <v>0</v>
      </c>
      <c r="Q124" s="13"/>
      <c r="R124" s="12">
        <f t="shared" ref="R124:S126" si="47">+F124+J124+N124</f>
        <v>74222000</v>
      </c>
      <c r="S124" s="12">
        <f t="shared" si="47"/>
        <v>35107116.43</v>
      </c>
      <c r="T124" s="14">
        <f>+R124-S124</f>
        <v>39114883.57</v>
      </c>
      <c r="U124" s="17">
        <f t="shared" si="26"/>
        <v>0.47300148783379592</v>
      </c>
      <c r="V124" s="2" t="s">
        <v>145</v>
      </c>
    </row>
    <row r="125" spans="2:22" ht="24.95" customHeight="1">
      <c r="B125" s="18"/>
      <c r="C125" s="10"/>
      <c r="D125" s="10"/>
      <c r="E125" s="22" t="s">
        <v>115</v>
      </c>
      <c r="F125" s="12">
        <v>36551263</v>
      </c>
      <c r="G125" s="12">
        <v>52234630.990000002</v>
      </c>
      <c r="H125" s="12">
        <f>+F125-G125</f>
        <v>-15683367.990000002</v>
      </c>
      <c r="I125" s="13"/>
      <c r="J125" s="12"/>
      <c r="K125" s="12"/>
      <c r="L125" s="12">
        <f>+J125-K125</f>
        <v>0</v>
      </c>
      <c r="M125" s="12"/>
      <c r="N125" s="12">
        <v>1876370</v>
      </c>
      <c r="O125" s="12">
        <v>1876369.59</v>
      </c>
      <c r="P125" s="12">
        <f>+N125-O125</f>
        <v>0.40999999991618097</v>
      </c>
      <c r="Q125" s="13"/>
      <c r="R125" s="12">
        <f t="shared" si="47"/>
        <v>38427633</v>
      </c>
      <c r="S125" s="12">
        <f t="shared" si="47"/>
        <v>54111000.580000006</v>
      </c>
      <c r="T125" s="14">
        <f>+R125-S125</f>
        <v>-15683367.580000006</v>
      </c>
      <c r="U125" s="17">
        <f t="shared" si="26"/>
        <v>1.4081273384702098</v>
      </c>
    </row>
    <row r="126" spans="2:22" ht="28.5" customHeight="1">
      <c r="B126" s="18"/>
      <c r="C126" s="10"/>
      <c r="D126" s="10"/>
      <c r="E126" s="22" t="s">
        <v>116</v>
      </c>
      <c r="F126" s="12">
        <v>17678596</v>
      </c>
      <c r="G126" s="12">
        <v>57992024.350000001</v>
      </c>
      <c r="H126" s="12">
        <f>+F126-G126</f>
        <v>-40313428.350000001</v>
      </c>
      <c r="I126" s="13"/>
      <c r="J126" s="12"/>
      <c r="K126" s="12"/>
      <c r="L126" s="12">
        <f>+J126-K126</f>
        <v>0</v>
      </c>
      <c r="M126" s="12"/>
      <c r="N126" s="12"/>
      <c r="O126" s="12"/>
      <c r="P126" s="12">
        <f>+N126-O126</f>
        <v>0</v>
      </c>
      <c r="Q126" s="13"/>
      <c r="R126" s="12">
        <f t="shared" si="47"/>
        <v>17678596</v>
      </c>
      <c r="S126" s="12">
        <f t="shared" si="47"/>
        <v>57992024.350000001</v>
      </c>
      <c r="T126" s="14">
        <f>+R126-S126</f>
        <v>-40313428.350000001</v>
      </c>
      <c r="U126" s="17">
        <f t="shared" si="26"/>
        <v>3.2803523735708424</v>
      </c>
    </row>
    <row r="127" spans="2:22" ht="24.95" customHeight="1">
      <c r="B127" s="18"/>
      <c r="C127" s="10"/>
      <c r="D127" s="10"/>
      <c r="E127" s="22"/>
      <c r="F127" s="12"/>
      <c r="G127" s="12"/>
      <c r="H127" s="12"/>
      <c r="I127" s="13"/>
      <c r="J127" s="12"/>
      <c r="K127" s="12"/>
      <c r="L127" s="12"/>
      <c r="M127" s="12"/>
      <c r="N127" s="12"/>
      <c r="O127" s="12"/>
      <c r="P127" s="12"/>
      <c r="Q127" s="13"/>
      <c r="R127" s="12"/>
      <c r="S127" s="12"/>
      <c r="T127" s="14"/>
      <c r="U127" s="17"/>
    </row>
    <row r="128" spans="2:22" ht="24.95" customHeight="1">
      <c r="B128" s="18"/>
      <c r="C128" s="20" t="s">
        <v>117</v>
      </c>
      <c r="D128" s="20"/>
      <c r="E128" s="10"/>
      <c r="F128" s="12"/>
      <c r="G128" s="12"/>
      <c r="H128" s="12"/>
      <c r="I128" s="13"/>
      <c r="J128" s="12"/>
      <c r="K128" s="12"/>
      <c r="L128" s="12"/>
      <c r="M128" s="12"/>
      <c r="N128" s="12"/>
      <c r="O128" s="12"/>
      <c r="P128" s="12"/>
      <c r="Q128" s="13"/>
      <c r="R128" s="12"/>
      <c r="S128" s="12"/>
      <c r="T128" s="14"/>
      <c r="U128" s="17"/>
    </row>
    <row r="129" spans="2:21" ht="24.95" customHeight="1">
      <c r="B129" s="18"/>
      <c r="C129" s="20"/>
      <c r="D129" s="20"/>
      <c r="E129" s="10" t="s">
        <v>118</v>
      </c>
      <c r="F129" s="12">
        <v>32638000</v>
      </c>
      <c r="G129" s="12">
        <v>32267938.5</v>
      </c>
      <c r="H129" s="12">
        <f>+F129-G129</f>
        <v>370061.5</v>
      </c>
      <c r="I129" s="13"/>
      <c r="J129" s="12"/>
      <c r="K129" s="12">
        <v>13134785.310000001</v>
      </c>
      <c r="L129" s="12">
        <f>+J129-K129</f>
        <v>-13134785.310000001</v>
      </c>
      <c r="M129" s="12"/>
      <c r="N129" s="12">
        <v>1884316.66</v>
      </c>
      <c r="O129" s="12">
        <v>1884316.66</v>
      </c>
      <c r="P129" s="12">
        <f>+N129-O129</f>
        <v>0</v>
      </c>
      <c r="Q129" s="13"/>
      <c r="R129" s="12">
        <f t="shared" ref="R129:S131" si="48">+F129+J129+N129</f>
        <v>34522316.659999996</v>
      </c>
      <c r="S129" s="12">
        <f t="shared" si="48"/>
        <v>47287040.469999999</v>
      </c>
      <c r="T129" s="14">
        <f>+R129-S129</f>
        <v>-12764723.810000002</v>
      </c>
      <c r="U129" s="17">
        <f t="shared" si="26"/>
        <v>1.3697528162931811</v>
      </c>
    </row>
    <row r="130" spans="2:21" ht="27.75" customHeight="1">
      <c r="B130" s="18"/>
      <c r="C130" s="10"/>
      <c r="D130" s="10"/>
      <c r="E130" s="22" t="s">
        <v>119</v>
      </c>
      <c r="F130" s="12">
        <v>31674741</v>
      </c>
      <c r="G130" s="12">
        <v>88880539.689999998</v>
      </c>
      <c r="H130" s="12">
        <f>+F130-G130</f>
        <v>-57205798.689999998</v>
      </c>
      <c r="I130" s="13"/>
      <c r="J130" s="12"/>
      <c r="K130" s="12"/>
      <c r="L130" s="12">
        <f>+J130-K130</f>
        <v>0</v>
      </c>
      <c r="M130" s="12"/>
      <c r="N130" s="12"/>
      <c r="O130" s="12"/>
      <c r="P130" s="12">
        <f>+N130-O130</f>
        <v>0</v>
      </c>
      <c r="Q130" s="13"/>
      <c r="R130" s="12">
        <f t="shared" si="48"/>
        <v>31674741</v>
      </c>
      <c r="S130" s="12">
        <f t="shared" si="48"/>
        <v>88880539.689999998</v>
      </c>
      <c r="T130" s="14">
        <f>+R130-S130</f>
        <v>-57205798.689999998</v>
      </c>
      <c r="U130" s="17">
        <f t="shared" si="26"/>
        <v>2.8060384042287829</v>
      </c>
    </row>
    <row r="131" spans="2:21" ht="24.95" customHeight="1">
      <c r="B131" s="18"/>
      <c r="C131" s="10"/>
      <c r="D131" s="10"/>
      <c r="E131" s="28" t="s">
        <v>120</v>
      </c>
      <c r="F131" s="12">
        <v>8008000</v>
      </c>
      <c r="G131" s="12">
        <v>8847496.5700000003</v>
      </c>
      <c r="H131" s="12">
        <f>+F131-G131</f>
        <v>-839496.5700000003</v>
      </c>
      <c r="I131" s="13"/>
      <c r="J131" s="12"/>
      <c r="K131" s="12"/>
      <c r="L131" s="12">
        <f>+J131-K131</f>
        <v>0</v>
      </c>
      <c r="M131" s="12"/>
      <c r="N131" s="12"/>
      <c r="O131" s="12"/>
      <c r="P131" s="12">
        <f>+N131-O131</f>
        <v>0</v>
      </c>
      <c r="Q131" s="13"/>
      <c r="R131" s="12">
        <f t="shared" si="48"/>
        <v>8008000</v>
      </c>
      <c r="S131" s="12">
        <f t="shared" si="48"/>
        <v>8847496.5700000003</v>
      </c>
      <c r="T131" s="14">
        <f>+R131-S131</f>
        <v>-839496.5700000003</v>
      </c>
      <c r="U131" s="17">
        <f t="shared" si="26"/>
        <v>1.104832239010989</v>
      </c>
    </row>
    <row r="132" spans="2:21" ht="24.95" customHeight="1">
      <c r="B132" s="18"/>
      <c r="C132" s="10"/>
      <c r="D132" s="10"/>
      <c r="E132" s="28"/>
      <c r="F132" s="12"/>
      <c r="G132" s="12"/>
      <c r="H132" s="12"/>
      <c r="I132" s="13"/>
      <c r="J132" s="12"/>
      <c r="K132" s="12"/>
      <c r="L132" s="12"/>
      <c r="M132" s="12"/>
      <c r="N132" s="12"/>
      <c r="O132" s="12"/>
      <c r="P132" s="12"/>
      <c r="Q132" s="13"/>
      <c r="R132" s="12"/>
      <c r="S132" s="12"/>
      <c r="T132" s="14"/>
      <c r="U132" s="17"/>
    </row>
    <row r="133" spans="2:21" ht="24.95" customHeight="1">
      <c r="B133" s="18"/>
      <c r="C133" s="20" t="s">
        <v>121</v>
      </c>
      <c r="D133" s="20"/>
      <c r="E133" s="10"/>
      <c r="F133" s="12"/>
      <c r="G133" s="12"/>
      <c r="H133" s="12"/>
      <c r="I133" s="13"/>
      <c r="J133" s="12"/>
      <c r="K133" s="12"/>
      <c r="L133" s="12"/>
      <c r="M133" s="12"/>
      <c r="N133" s="12"/>
      <c r="O133" s="12"/>
      <c r="P133" s="12"/>
      <c r="Q133" s="13"/>
      <c r="R133" s="12"/>
      <c r="S133" s="12"/>
      <c r="T133" s="14"/>
      <c r="U133" s="17"/>
    </row>
    <row r="134" spans="2:21" ht="24.95" customHeight="1">
      <c r="B134" s="18"/>
      <c r="C134" s="20"/>
      <c r="D134" s="20"/>
      <c r="E134" s="10" t="s">
        <v>122</v>
      </c>
      <c r="F134" s="12">
        <v>57991000</v>
      </c>
      <c r="G134" s="12">
        <v>31224833.52</v>
      </c>
      <c r="H134" s="12">
        <f>+F134-G134</f>
        <v>26766166.48</v>
      </c>
      <c r="I134" s="13"/>
      <c r="J134" s="12"/>
      <c r="K134" s="12">
        <v>647412.79</v>
      </c>
      <c r="L134" s="12">
        <f>+J134-K134</f>
        <v>-647412.79</v>
      </c>
      <c r="M134" s="12"/>
      <c r="N134" s="12"/>
      <c r="O134" s="12"/>
      <c r="P134" s="12">
        <f>+N134-O134</f>
        <v>0</v>
      </c>
      <c r="Q134" s="13"/>
      <c r="R134" s="12">
        <f t="shared" ref="R134:S136" si="49">+F134+J134+N134</f>
        <v>57991000</v>
      </c>
      <c r="S134" s="12">
        <f t="shared" si="49"/>
        <v>31872246.309999999</v>
      </c>
      <c r="T134" s="14">
        <f>+R134-S134</f>
        <v>26118753.690000001</v>
      </c>
      <c r="U134" s="17">
        <f t="shared" si="26"/>
        <v>0.54960677191288299</v>
      </c>
    </row>
    <row r="135" spans="2:21" ht="27.75" customHeight="1">
      <c r="B135" s="18"/>
      <c r="C135" s="10"/>
      <c r="D135" s="10"/>
      <c r="E135" s="22" t="s">
        <v>123</v>
      </c>
      <c r="F135" s="12">
        <v>19213577</v>
      </c>
      <c r="G135" s="12">
        <v>13000785.27</v>
      </c>
      <c r="H135" s="12">
        <f>+F135-G135</f>
        <v>6212791.7300000004</v>
      </c>
      <c r="I135" s="13"/>
      <c r="J135" s="12"/>
      <c r="K135" s="12"/>
      <c r="L135" s="12">
        <f>+J135-K135</f>
        <v>0</v>
      </c>
      <c r="M135" s="12"/>
      <c r="N135" s="12"/>
      <c r="O135" s="12"/>
      <c r="P135" s="12">
        <f>+N135-O135</f>
        <v>0</v>
      </c>
      <c r="Q135" s="13"/>
      <c r="R135" s="12">
        <f t="shared" si="49"/>
        <v>19213577</v>
      </c>
      <c r="S135" s="12">
        <f t="shared" si="49"/>
        <v>13000785.27</v>
      </c>
      <c r="T135" s="14">
        <f>+R135-S135</f>
        <v>6212791.7300000004</v>
      </c>
      <c r="U135" s="17">
        <f t="shared" si="26"/>
        <v>0.6766457526362738</v>
      </c>
    </row>
    <row r="136" spans="2:21" ht="27.75" customHeight="1">
      <c r="B136" s="18"/>
      <c r="C136" s="10"/>
      <c r="D136" s="10"/>
      <c r="E136" s="22" t="s">
        <v>124</v>
      </c>
      <c r="F136" s="12">
        <v>10285000</v>
      </c>
      <c r="G136" s="12">
        <v>13052769.59</v>
      </c>
      <c r="H136" s="12">
        <f>+F136-G136</f>
        <v>-2767769.59</v>
      </c>
      <c r="I136" s="13"/>
      <c r="J136" s="12"/>
      <c r="K136" s="12"/>
      <c r="L136" s="12">
        <f>+J136-K136</f>
        <v>0</v>
      </c>
      <c r="M136" s="12"/>
      <c r="N136" s="12"/>
      <c r="O136" s="12"/>
      <c r="P136" s="12">
        <f>+N136-O136</f>
        <v>0</v>
      </c>
      <c r="Q136" s="13"/>
      <c r="R136" s="12">
        <f t="shared" si="49"/>
        <v>10285000</v>
      </c>
      <c r="S136" s="12">
        <f t="shared" si="49"/>
        <v>13052769.59</v>
      </c>
      <c r="T136" s="14">
        <f>+R136-S136</f>
        <v>-2767769.59</v>
      </c>
      <c r="U136" s="17">
        <f t="shared" si="26"/>
        <v>1.2691073981526495</v>
      </c>
    </row>
    <row r="137" spans="2:21" ht="27.75" customHeight="1">
      <c r="B137" s="18"/>
      <c r="C137" s="10"/>
      <c r="D137" s="10"/>
      <c r="E137" s="31" t="s">
        <v>51</v>
      </c>
      <c r="F137" s="32">
        <f>SUM(F108:F136)</f>
        <v>464802643</v>
      </c>
      <c r="G137" s="32">
        <f t="shared" ref="G137:S137" si="50">SUM(G108:G136)</f>
        <v>570204054.70000005</v>
      </c>
      <c r="H137" s="32">
        <f t="shared" si="50"/>
        <v>-105401411.69999999</v>
      </c>
      <c r="I137" s="32">
        <f t="shared" si="50"/>
        <v>0</v>
      </c>
      <c r="J137" s="32">
        <f>SUM(J108:J136)</f>
        <v>39300000</v>
      </c>
      <c r="K137" s="32">
        <f>SUM(K108:K136)</f>
        <v>97597702.620000005</v>
      </c>
      <c r="L137" s="32">
        <f>SUM(L108:L136)</f>
        <v>-58297702.619999997</v>
      </c>
      <c r="M137" s="32">
        <f t="shared" si="50"/>
        <v>0</v>
      </c>
      <c r="N137" s="32">
        <f>SUM(N108:N136)</f>
        <v>6303266.6600000001</v>
      </c>
      <c r="O137" s="32">
        <f>SUM(O108:O136)</f>
        <v>8439337.5999999996</v>
      </c>
      <c r="P137" s="32">
        <f>SUM(P108:P136)</f>
        <v>-2136070.9399999995</v>
      </c>
      <c r="Q137" s="32">
        <f t="shared" si="50"/>
        <v>0</v>
      </c>
      <c r="R137" s="32">
        <f t="shared" si="50"/>
        <v>510405909.65999997</v>
      </c>
      <c r="S137" s="32">
        <f t="shared" si="50"/>
        <v>676241094.92000008</v>
      </c>
      <c r="T137" s="34">
        <f>SUM(T108:T136)</f>
        <v>-165835185.26000002</v>
      </c>
      <c r="U137" s="17">
        <f t="shared" ref="U137" si="51">+S137/R137</f>
        <v>1.32490843487778</v>
      </c>
    </row>
    <row r="138" spans="2:21" ht="24.95" customHeight="1">
      <c r="B138" s="18"/>
      <c r="C138" s="10"/>
      <c r="D138" s="10"/>
      <c r="E138" s="22"/>
      <c r="F138" s="12"/>
      <c r="G138" s="12"/>
      <c r="H138" s="12"/>
      <c r="I138" s="13"/>
      <c r="J138" s="12"/>
      <c r="K138" s="12"/>
      <c r="L138" s="12"/>
      <c r="M138" s="12"/>
      <c r="N138" s="12"/>
      <c r="O138" s="12"/>
      <c r="P138" s="12"/>
      <c r="Q138" s="13"/>
      <c r="R138" s="12"/>
      <c r="S138" s="12"/>
      <c r="T138" s="14"/>
      <c r="U138" s="17"/>
    </row>
    <row r="139" spans="2:21" ht="27.75" customHeight="1">
      <c r="B139" s="18"/>
      <c r="C139" s="24" t="s">
        <v>147</v>
      </c>
      <c r="D139" s="10"/>
      <c r="E139" s="22"/>
      <c r="F139" s="32"/>
      <c r="G139" s="32"/>
      <c r="H139" s="32"/>
      <c r="I139" s="33"/>
      <c r="J139" s="32"/>
      <c r="K139" s="32"/>
      <c r="L139" s="32"/>
      <c r="M139" s="32"/>
      <c r="N139" s="32"/>
      <c r="O139" s="32"/>
      <c r="P139" s="32"/>
      <c r="Q139" s="33"/>
      <c r="R139" s="32"/>
      <c r="S139" s="32"/>
      <c r="T139" s="34"/>
      <c r="U139" s="17"/>
    </row>
    <row r="140" spans="2:21" ht="27.75" customHeight="1">
      <c r="B140" s="18"/>
      <c r="C140" s="10"/>
      <c r="D140" s="10"/>
      <c r="E140" s="10" t="s">
        <v>148</v>
      </c>
      <c r="F140" s="12">
        <v>53005000</v>
      </c>
      <c r="G140" s="12">
        <v>56915306.200000003</v>
      </c>
      <c r="H140" s="12">
        <f>+F140-G140</f>
        <v>-3910306.200000003</v>
      </c>
      <c r="I140" s="13"/>
      <c r="J140" s="12"/>
      <c r="K140" s="12"/>
      <c r="L140" s="12">
        <f>+J140-K140</f>
        <v>0</v>
      </c>
      <c r="M140" s="12"/>
      <c r="N140" s="12"/>
      <c r="O140" s="12"/>
      <c r="P140" s="12">
        <f>+N140-O140</f>
        <v>0</v>
      </c>
      <c r="Q140" s="13"/>
      <c r="R140" s="12">
        <f t="shared" ref="R140:S141" si="52">+F140+J140+N140</f>
        <v>53005000</v>
      </c>
      <c r="S140" s="12">
        <f t="shared" si="52"/>
        <v>56915306.200000003</v>
      </c>
      <c r="T140" s="14">
        <f>+R140-S140</f>
        <v>-3910306.200000003</v>
      </c>
      <c r="U140" s="17">
        <f t="shared" ref="U140:U141" si="53">+S140/R140</f>
        <v>1.073772402603528</v>
      </c>
    </row>
    <row r="141" spans="2:21" ht="27.75" customHeight="1">
      <c r="B141" s="18"/>
      <c r="C141" s="10"/>
      <c r="D141" s="10"/>
      <c r="E141" s="10" t="s">
        <v>149</v>
      </c>
      <c r="F141" s="12">
        <v>28586000</v>
      </c>
      <c r="G141" s="12">
        <v>26554511.899999999</v>
      </c>
      <c r="H141" s="12">
        <f>+F141-G141</f>
        <v>2031488.1000000015</v>
      </c>
      <c r="I141" s="13"/>
      <c r="J141" s="12"/>
      <c r="K141" s="12"/>
      <c r="L141" s="12">
        <f>+J141-K141</f>
        <v>0</v>
      </c>
      <c r="M141" s="12"/>
      <c r="N141" s="12">
        <v>912321</v>
      </c>
      <c r="O141" s="12">
        <v>912320.99</v>
      </c>
      <c r="P141" s="12">
        <f>+N141-O141</f>
        <v>1.0000000009313226E-2</v>
      </c>
      <c r="Q141" s="13"/>
      <c r="R141" s="12">
        <f t="shared" si="52"/>
        <v>29498321</v>
      </c>
      <c r="S141" s="12">
        <f t="shared" si="52"/>
        <v>27466832.889999997</v>
      </c>
      <c r="T141" s="14">
        <f>+R141-S141</f>
        <v>2031488.1100000031</v>
      </c>
      <c r="U141" s="17">
        <f t="shared" si="53"/>
        <v>0.93113207663581932</v>
      </c>
    </row>
    <row r="142" spans="2:21" ht="24.95" customHeight="1">
      <c r="B142" s="18"/>
      <c r="C142" s="10"/>
      <c r="D142" s="10"/>
      <c r="E142" s="22"/>
      <c r="F142" s="12"/>
      <c r="G142" s="12"/>
      <c r="H142" s="12"/>
      <c r="I142" s="13"/>
      <c r="J142" s="12"/>
      <c r="K142" s="12"/>
      <c r="L142" s="12"/>
      <c r="M142" s="12"/>
      <c r="N142" s="12"/>
      <c r="O142" s="12"/>
      <c r="P142" s="12"/>
      <c r="Q142" s="13"/>
      <c r="R142" s="12"/>
      <c r="S142" s="12"/>
      <c r="T142" s="14"/>
      <c r="U142" s="17"/>
    </row>
    <row r="143" spans="2:21" s="48" customFormat="1" ht="15.75" thickBot="1">
      <c r="B143" s="44"/>
      <c r="C143" s="24"/>
      <c r="D143" s="24"/>
      <c r="E143" s="45" t="s">
        <v>125</v>
      </c>
      <c r="F143" s="46">
        <f>+F8+F51+F81+F104+F137+F49+F50+F140+F141</f>
        <v>3261025420.4099998</v>
      </c>
      <c r="G143" s="46">
        <f t="shared" ref="G143:H143" si="54">+G8+G51+G81+G104+G137+G49+G50+G140+G141</f>
        <v>3213906308.7599998</v>
      </c>
      <c r="H143" s="46">
        <f t="shared" si="54"/>
        <v>47119111.650000058</v>
      </c>
      <c r="I143" s="46">
        <f t="shared" ref="I143:Q143" si="55">+I8+I51+I81+I104+I137+I49+I50</f>
        <v>2208000</v>
      </c>
      <c r="J143" s="46">
        <f>+J8+J51+J81+J104+J137+J49+J50+J140+J141</f>
        <v>180193772.56</v>
      </c>
      <c r="K143" s="46">
        <f t="shared" ref="K143:L143" si="56">+K8+K51+K81+K104+K137+K49+K50+K140+K141</f>
        <v>360799766.92000002</v>
      </c>
      <c r="L143" s="46">
        <f t="shared" si="56"/>
        <v>-180605994.35999998</v>
      </c>
      <c r="M143" s="46">
        <f t="shared" si="55"/>
        <v>0</v>
      </c>
      <c r="N143" s="46">
        <f>+N8+N51+N81+N104+N137+N49+N50+N140+N141</f>
        <v>104863181.2</v>
      </c>
      <c r="O143" s="46">
        <f t="shared" ref="O143:P143" si="57">+O8+O51+O81+O104+O137+O49+O50+O140+O141</f>
        <v>235351525.61000001</v>
      </c>
      <c r="P143" s="46">
        <f t="shared" si="57"/>
        <v>-130488344.40999997</v>
      </c>
      <c r="Q143" s="46">
        <f t="shared" si="55"/>
        <v>0</v>
      </c>
      <c r="R143" s="46">
        <f>+R8+R51+R81+R104+R137+R49+R50+R140+R141</f>
        <v>3546082374.1700001</v>
      </c>
      <c r="S143" s="46">
        <f t="shared" ref="S143:T143" si="58">+S8+S51+S81+S104+S137+S49+S50+S140+S141</f>
        <v>3810057601.289999</v>
      </c>
      <c r="T143" s="46">
        <f t="shared" si="58"/>
        <v>-263975227.11999983</v>
      </c>
      <c r="U143" s="47">
        <f>+S143/R143</f>
        <v>1.0744413691692047</v>
      </c>
    </row>
    <row r="144" spans="2:21" ht="15.75" thickTop="1" thickBot="1">
      <c r="B144" s="49"/>
      <c r="C144" s="50"/>
      <c r="D144" s="50"/>
      <c r="E144" s="51"/>
      <c r="F144" s="52"/>
      <c r="G144" s="52"/>
      <c r="H144" s="52"/>
      <c r="I144" s="53"/>
      <c r="J144" s="54"/>
      <c r="K144" s="54"/>
      <c r="L144" s="54"/>
      <c r="M144" s="54"/>
      <c r="N144" s="54"/>
      <c r="O144" s="54"/>
      <c r="P144" s="54"/>
      <c r="Q144" s="53"/>
      <c r="R144" s="54"/>
      <c r="S144" s="54"/>
      <c r="T144" s="55"/>
      <c r="U144" s="56"/>
    </row>
    <row r="145" spans="6:20" ht="24.95" customHeight="1">
      <c r="F145" s="30">
        <f>+F143+J143</f>
        <v>3441219192.9699998</v>
      </c>
      <c r="G145" s="30">
        <f>+G143+K143</f>
        <v>3574706075.6799998</v>
      </c>
      <c r="H145" s="30">
        <f>+F145-G145</f>
        <v>-133486882.71000004</v>
      </c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6:20" ht="24.95" customHeight="1">
      <c r="F146" s="58" t="s">
        <v>126</v>
      </c>
      <c r="J146" s="58" t="s">
        <v>127</v>
      </c>
      <c r="K146" s="30"/>
      <c r="N146" s="58" t="s">
        <v>128</v>
      </c>
      <c r="R146" s="13"/>
      <c r="S146" s="13"/>
      <c r="T146" s="13"/>
    </row>
    <row r="147" spans="6:20" ht="24.95" customHeight="1">
      <c r="R147" s="13"/>
      <c r="S147" s="13"/>
      <c r="T147" s="13"/>
    </row>
    <row r="148" spans="6:20" ht="24.95" customHeight="1">
      <c r="F148" s="59" t="s">
        <v>129</v>
      </c>
      <c r="J148" s="59" t="s">
        <v>130</v>
      </c>
      <c r="N148" s="59" t="s">
        <v>131</v>
      </c>
      <c r="R148" s="30"/>
      <c r="S148" s="30"/>
      <c r="T148" s="30"/>
    </row>
    <row r="149" spans="6:20" ht="17.25" customHeight="1">
      <c r="F149" s="58" t="s">
        <v>132</v>
      </c>
      <c r="J149" s="58" t="s">
        <v>133</v>
      </c>
      <c r="N149" s="58" t="s">
        <v>134</v>
      </c>
    </row>
  </sheetData>
  <autoFilter ref="B7:U140"/>
  <mergeCells count="11">
    <mergeCell ref="U5:U6"/>
    <mergeCell ref="C11:E11"/>
    <mergeCell ref="B1:T1"/>
    <mergeCell ref="B2:T2"/>
    <mergeCell ref="B3:T3"/>
    <mergeCell ref="B4:T4"/>
    <mergeCell ref="B5:E6"/>
    <mergeCell ref="F5:H5"/>
    <mergeCell ref="J5:L5"/>
    <mergeCell ref="N5:P5"/>
    <mergeCell ref="R5:T5"/>
  </mergeCells>
  <pageMargins left="1.25" right="0" top="0.36" bottom="0.3" header="0.27" footer="0.17"/>
  <pageSetup paperSize="5" scale="55" orientation="landscape" horizontalDpi="0" verticalDpi="0" r:id="rId1"/>
  <headerFooter>
    <oddFooter>&amp;R&amp;"-,Italic"&amp;8Page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Y149"/>
  <sheetViews>
    <sheetView zoomScale="75" zoomScaleNormal="75" workbookViewId="0">
      <pane xSplit="5" ySplit="6" topLeftCell="F55" activePane="bottomRight" state="frozen"/>
      <selection pane="topRight" activeCell="F1" sqref="F1"/>
      <selection pane="bottomLeft" activeCell="A7" sqref="A7"/>
      <selection pane="bottomRight" activeCell="C61" sqref="C61"/>
    </sheetView>
  </sheetViews>
  <sheetFormatPr defaultRowHeight="24.95" customHeight="1"/>
  <cols>
    <col min="1" max="4" width="2.7109375" style="2" customWidth="1"/>
    <col min="5" max="5" width="50.5703125" style="57" customWidth="1"/>
    <col min="6" max="7" width="19.28515625" style="2" customWidth="1"/>
    <col min="8" max="8" width="18.5703125" style="2" customWidth="1"/>
    <col min="9" max="9" width="0.7109375" style="2" customWidth="1"/>
    <col min="10" max="10" width="24" style="2" bestFit="1" customWidth="1"/>
    <col min="11" max="11" width="18.7109375" style="2" bestFit="1" customWidth="1"/>
    <col min="12" max="12" width="19.42578125" style="2" bestFit="1" customWidth="1"/>
    <col min="13" max="13" width="0.5703125" style="2" customWidth="1"/>
    <col min="14" max="15" width="18.7109375" style="2" bestFit="1" customWidth="1"/>
    <col min="16" max="16" width="16.5703125" style="2" customWidth="1"/>
    <col min="17" max="17" width="0.7109375" style="2" customWidth="1"/>
    <col min="18" max="19" width="19.85546875" style="2" bestFit="1" customWidth="1"/>
    <col min="20" max="20" width="18.7109375" style="2" bestFit="1" customWidth="1"/>
    <col min="21" max="21" width="14.5703125" style="1" customWidth="1"/>
    <col min="22" max="22" width="9.140625" style="2"/>
    <col min="23" max="23" width="14.85546875" style="2" bestFit="1" customWidth="1"/>
    <col min="24" max="24" width="9.140625" style="2"/>
    <col min="25" max="25" width="14.85546875" style="2" bestFit="1" customWidth="1"/>
    <col min="26" max="256" width="9.140625" style="2"/>
    <col min="257" max="260" width="2.7109375" style="2" customWidth="1"/>
    <col min="261" max="261" width="50.5703125" style="2" customWidth="1"/>
    <col min="262" max="263" width="19.28515625" style="2" customWidth="1"/>
    <col min="264" max="264" width="18.5703125" style="2" customWidth="1"/>
    <col min="265" max="265" width="0.7109375" style="2" customWidth="1"/>
    <col min="266" max="266" width="24" style="2" bestFit="1" customWidth="1"/>
    <col min="267" max="267" width="18.7109375" style="2" bestFit="1" customWidth="1"/>
    <col min="268" max="268" width="19.42578125" style="2" bestFit="1" customWidth="1"/>
    <col min="269" max="269" width="0.5703125" style="2" customWidth="1"/>
    <col min="270" max="271" width="18.7109375" style="2" bestFit="1" customWidth="1"/>
    <col min="272" max="272" width="16.5703125" style="2" customWidth="1"/>
    <col min="273" max="273" width="0.7109375" style="2" customWidth="1"/>
    <col min="274" max="275" width="19.85546875" style="2" bestFit="1" customWidth="1"/>
    <col min="276" max="276" width="18.7109375" style="2" bestFit="1" customWidth="1"/>
    <col min="277" max="277" width="14.5703125" style="2" customWidth="1"/>
    <col min="278" max="278" width="9.140625" style="2"/>
    <col min="279" max="279" width="13.140625" style="2" bestFit="1" customWidth="1"/>
    <col min="280" max="512" width="9.140625" style="2"/>
    <col min="513" max="516" width="2.7109375" style="2" customWidth="1"/>
    <col min="517" max="517" width="50.5703125" style="2" customWidth="1"/>
    <col min="518" max="519" width="19.28515625" style="2" customWidth="1"/>
    <col min="520" max="520" width="18.5703125" style="2" customWidth="1"/>
    <col min="521" max="521" width="0.7109375" style="2" customWidth="1"/>
    <col min="522" max="522" width="24" style="2" bestFit="1" customWidth="1"/>
    <col min="523" max="523" width="18.7109375" style="2" bestFit="1" customWidth="1"/>
    <col min="524" max="524" width="19.42578125" style="2" bestFit="1" customWidth="1"/>
    <col min="525" max="525" width="0.5703125" style="2" customWidth="1"/>
    <col min="526" max="527" width="18.7109375" style="2" bestFit="1" customWidth="1"/>
    <col min="528" max="528" width="16.5703125" style="2" customWidth="1"/>
    <col min="529" max="529" width="0.7109375" style="2" customWidth="1"/>
    <col min="530" max="531" width="19.85546875" style="2" bestFit="1" customWidth="1"/>
    <col min="532" max="532" width="18.7109375" style="2" bestFit="1" customWidth="1"/>
    <col min="533" max="533" width="14.5703125" style="2" customWidth="1"/>
    <col min="534" max="534" width="9.140625" style="2"/>
    <col min="535" max="535" width="13.140625" style="2" bestFit="1" customWidth="1"/>
    <col min="536" max="768" width="9.140625" style="2"/>
    <col min="769" max="772" width="2.7109375" style="2" customWidth="1"/>
    <col min="773" max="773" width="50.5703125" style="2" customWidth="1"/>
    <col min="774" max="775" width="19.28515625" style="2" customWidth="1"/>
    <col min="776" max="776" width="18.5703125" style="2" customWidth="1"/>
    <col min="777" max="777" width="0.7109375" style="2" customWidth="1"/>
    <col min="778" max="778" width="24" style="2" bestFit="1" customWidth="1"/>
    <col min="779" max="779" width="18.7109375" style="2" bestFit="1" customWidth="1"/>
    <col min="780" max="780" width="19.42578125" style="2" bestFit="1" customWidth="1"/>
    <col min="781" max="781" width="0.5703125" style="2" customWidth="1"/>
    <col min="782" max="783" width="18.7109375" style="2" bestFit="1" customWidth="1"/>
    <col min="784" max="784" width="16.5703125" style="2" customWidth="1"/>
    <col min="785" max="785" width="0.7109375" style="2" customWidth="1"/>
    <col min="786" max="787" width="19.85546875" style="2" bestFit="1" customWidth="1"/>
    <col min="788" max="788" width="18.7109375" style="2" bestFit="1" customWidth="1"/>
    <col min="789" max="789" width="14.5703125" style="2" customWidth="1"/>
    <col min="790" max="790" width="9.140625" style="2"/>
    <col min="791" max="791" width="13.140625" style="2" bestFit="1" customWidth="1"/>
    <col min="792" max="1024" width="9.140625" style="2"/>
    <col min="1025" max="1028" width="2.7109375" style="2" customWidth="1"/>
    <col min="1029" max="1029" width="50.5703125" style="2" customWidth="1"/>
    <col min="1030" max="1031" width="19.28515625" style="2" customWidth="1"/>
    <col min="1032" max="1032" width="18.5703125" style="2" customWidth="1"/>
    <col min="1033" max="1033" width="0.7109375" style="2" customWidth="1"/>
    <col min="1034" max="1034" width="24" style="2" bestFit="1" customWidth="1"/>
    <col min="1035" max="1035" width="18.7109375" style="2" bestFit="1" customWidth="1"/>
    <col min="1036" max="1036" width="19.42578125" style="2" bestFit="1" customWidth="1"/>
    <col min="1037" max="1037" width="0.5703125" style="2" customWidth="1"/>
    <col min="1038" max="1039" width="18.7109375" style="2" bestFit="1" customWidth="1"/>
    <col min="1040" max="1040" width="16.5703125" style="2" customWidth="1"/>
    <col min="1041" max="1041" width="0.7109375" style="2" customWidth="1"/>
    <col min="1042" max="1043" width="19.85546875" style="2" bestFit="1" customWidth="1"/>
    <col min="1044" max="1044" width="18.7109375" style="2" bestFit="1" customWidth="1"/>
    <col min="1045" max="1045" width="14.5703125" style="2" customWidth="1"/>
    <col min="1046" max="1046" width="9.140625" style="2"/>
    <col min="1047" max="1047" width="13.140625" style="2" bestFit="1" customWidth="1"/>
    <col min="1048" max="1280" width="9.140625" style="2"/>
    <col min="1281" max="1284" width="2.7109375" style="2" customWidth="1"/>
    <col min="1285" max="1285" width="50.5703125" style="2" customWidth="1"/>
    <col min="1286" max="1287" width="19.28515625" style="2" customWidth="1"/>
    <col min="1288" max="1288" width="18.5703125" style="2" customWidth="1"/>
    <col min="1289" max="1289" width="0.7109375" style="2" customWidth="1"/>
    <col min="1290" max="1290" width="24" style="2" bestFit="1" customWidth="1"/>
    <col min="1291" max="1291" width="18.7109375" style="2" bestFit="1" customWidth="1"/>
    <col min="1292" max="1292" width="19.42578125" style="2" bestFit="1" customWidth="1"/>
    <col min="1293" max="1293" width="0.5703125" style="2" customWidth="1"/>
    <col min="1294" max="1295" width="18.7109375" style="2" bestFit="1" customWidth="1"/>
    <col min="1296" max="1296" width="16.5703125" style="2" customWidth="1"/>
    <col min="1297" max="1297" width="0.7109375" style="2" customWidth="1"/>
    <col min="1298" max="1299" width="19.85546875" style="2" bestFit="1" customWidth="1"/>
    <col min="1300" max="1300" width="18.7109375" style="2" bestFit="1" customWidth="1"/>
    <col min="1301" max="1301" width="14.5703125" style="2" customWidth="1"/>
    <col min="1302" max="1302" width="9.140625" style="2"/>
    <col min="1303" max="1303" width="13.140625" style="2" bestFit="1" customWidth="1"/>
    <col min="1304" max="1536" width="9.140625" style="2"/>
    <col min="1537" max="1540" width="2.7109375" style="2" customWidth="1"/>
    <col min="1541" max="1541" width="50.5703125" style="2" customWidth="1"/>
    <col min="1542" max="1543" width="19.28515625" style="2" customWidth="1"/>
    <col min="1544" max="1544" width="18.5703125" style="2" customWidth="1"/>
    <col min="1545" max="1545" width="0.7109375" style="2" customWidth="1"/>
    <col min="1546" max="1546" width="24" style="2" bestFit="1" customWidth="1"/>
    <col min="1547" max="1547" width="18.7109375" style="2" bestFit="1" customWidth="1"/>
    <col min="1548" max="1548" width="19.42578125" style="2" bestFit="1" customWidth="1"/>
    <col min="1549" max="1549" width="0.5703125" style="2" customWidth="1"/>
    <col min="1550" max="1551" width="18.7109375" style="2" bestFit="1" customWidth="1"/>
    <col min="1552" max="1552" width="16.5703125" style="2" customWidth="1"/>
    <col min="1553" max="1553" width="0.7109375" style="2" customWidth="1"/>
    <col min="1554" max="1555" width="19.85546875" style="2" bestFit="1" customWidth="1"/>
    <col min="1556" max="1556" width="18.7109375" style="2" bestFit="1" customWidth="1"/>
    <col min="1557" max="1557" width="14.5703125" style="2" customWidth="1"/>
    <col min="1558" max="1558" width="9.140625" style="2"/>
    <col min="1559" max="1559" width="13.140625" style="2" bestFit="1" customWidth="1"/>
    <col min="1560" max="1792" width="9.140625" style="2"/>
    <col min="1793" max="1796" width="2.7109375" style="2" customWidth="1"/>
    <col min="1797" max="1797" width="50.5703125" style="2" customWidth="1"/>
    <col min="1798" max="1799" width="19.28515625" style="2" customWidth="1"/>
    <col min="1800" max="1800" width="18.5703125" style="2" customWidth="1"/>
    <col min="1801" max="1801" width="0.7109375" style="2" customWidth="1"/>
    <col min="1802" max="1802" width="24" style="2" bestFit="1" customWidth="1"/>
    <col min="1803" max="1803" width="18.7109375" style="2" bestFit="1" customWidth="1"/>
    <col min="1804" max="1804" width="19.42578125" style="2" bestFit="1" customWidth="1"/>
    <col min="1805" max="1805" width="0.5703125" style="2" customWidth="1"/>
    <col min="1806" max="1807" width="18.7109375" style="2" bestFit="1" customWidth="1"/>
    <col min="1808" max="1808" width="16.5703125" style="2" customWidth="1"/>
    <col min="1809" max="1809" width="0.7109375" style="2" customWidth="1"/>
    <col min="1810" max="1811" width="19.85546875" style="2" bestFit="1" customWidth="1"/>
    <col min="1812" max="1812" width="18.7109375" style="2" bestFit="1" customWidth="1"/>
    <col min="1813" max="1813" width="14.5703125" style="2" customWidth="1"/>
    <col min="1814" max="1814" width="9.140625" style="2"/>
    <col min="1815" max="1815" width="13.140625" style="2" bestFit="1" customWidth="1"/>
    <col min="1816" max="2048" width="9.140625" style="2"/>
    <col min="2049" max="2052" width="2.7109375" style="2" customWidth="1"/>
    <col min="2053" max="2053" width="50.5703125" style="2" customWidth="1"/>
    <col min="2054" max="2055" width="19.28515625" style="2" customWidth="1"/>
    <col min="2056" max="2056" width="18.5703125" style="2" customWidth="1"/>
    <col min="2057" max="2057" width="0.7109375" style="2" customWidth="1"/>
    <col min="2058" max="2058" width="24" style="2" bestFit="1" customWidth="1"/>
    <col min="2059" max="2059" width="18.7109375" style="2" bestFit="1" customWidth="1"/>
    <col min="2060" max="2060" width="19.42578125" style="2" bestFit="1" customWidth="1"/>
    <col min="2061" max="2061" width="0.5703125" style="2" customWidth="1"/>
    <col min="2062" max="2063" width="18.7109375" style="2" bestFit="1" customWidth="1"/>
    <col min="2064" max="2064" width="16.5703125" style="2" customWidth="1"/>
    <col min="2065" max="2065" width="0.7109375" style="2" customWidth="1"/>
    <col min="2066" max="2067" width="19.85546875" style="2" bestFit="1" customWidth="1"/>
    <col min="2068" max="2068" width="18.7109375" style="2" bestFit="1" customWidth="1"/>
    <col min="2069" max="2069" width="14.5703125" style="2" customWidth="1"/>
    <col min="2070" max="2070" width="9.140625" style="2"/>
    <col min="2071" max="2071" width="13.140625" style="2" bestFit="1" customWidth="1"/>
    <col min="2072" max="2304" width="9.140625" style="2"/>
    <col min="2305" max="2308" width="2.7109375" style="2" customWidth="1"/>
    <col min="2309" max="2309" width="50.5703125" style="2" customWidth="1"/>
    <col min="2310" max="2311" width="19.28515625" style="2" customWidth="1"/>
    <col min="2312" max="2312" width="18.5703125" style="2" customWidth="1"/>
    <col min="2313" max="2313" width="0.7109375" style="2" customWidth="1"/>
    <col min="2314" max="2314" width="24" style="2" bestFit="1" customWidth="1"/>
    <col min="2315" max="2315" width="18.7109375" style="2" bestFit="1" customWidth="1"/>
    <col min="2316" max="2316" width="19.42578125" style="2" bestFit="1" customWidth="1"/>
    <col min="2317" max="2317" width="0.5703125" style="2" customWidth="1"/>
    <col min="2318" max="2319" width="18.7109375" style="2" bestFit="1" customWidth="1"/>
    <col min="2320" max="2320" width="16.5703125" style="2" customWidth="1"/>
    <col min="2321" max="2321" width="0.7109375" style="2" customWidth="1"/>
    <col min="2322" max="2323" width="19.85546875" style="2" bestFit="1" customWidth="1"/>
    <col min="2324" max="2324" width="18.7109375" style="2" bestFit="1" customWidth="1"/>
    <col min="2325" max="2325" width="14.5703125" style="2" customWidth="1"/>
    <col min="2326" max="2326" width="9.140625" style="2"/>
    <col min="2327" max="2327" width="13.140625" style="2" bestFit="1" customWidth="1"/>
    <col min="2328" max="2560" width="9.140625" style="2"/>
    <col min="2561" max="2564" width="2.7109375" style="2" customWidth="1"/>
    <col min="2565" max="2565" width="50.5703125" style="2" customWidth="1"/>
    <col min="2566" max="2567" width="19.28515625" style="2" customWidth="1"/>
    <col min="2568" max="2568" width="18.5703125" style="2" customWidth="1"/>
    <col min="2569" max="2569" width="0.7109375" style="2" customWidth="1"/>
    <col min="2570" max="2570" width="24" style="2" bestFit="1" customWidth="1"/>
    <col min="2571" max="2571" width="18.7109375" style="2" bestFit="1" customWidth="1"/>
    <col min="2572" max="2572" width="19.42578125" style="2" bestFit="1" customWidth="1"/>
    <col min="2573" max="2573" width="0.5703125" style="2" customWidth="1"/>
    <col min="2574" max="2575" width="18.7109375" style="2" bestFit="1" customWidth="1"/>
    <col min="2576" max="2576" width="16.5703125" style="2" customWidth="1"/>
    <col min="2577" max="2577" width="0.7109375" style="2" customWidth="1"/>
    <col min="2578" max="2579" width="19.85546875" style="2" bestFit="1" customWidth="1"/>
    <col min="2580" max="2580" width="18.7109375" style="2" bestFit="1" customWidth="1"/>
    <col min="2581" max="2581" width="14.5703125" style="2" customWidth="1"/>
    <col min="2582" max="2582" width="9.140625" style="2"/>
    <col min="2583" max="2583" width="13.140625" style="2" bestFit="1" customWidth="1"/>
    <col min="2584" max="2816" width="9.140625" style="2"/>
    <col min="2817" max="2820" width="2.7109375" style="2" customWidth="1"/>
    <col min="2821" max="2821" width="50.5703125" style="2" customWidth="1"/>
    <col min="2822" max="2823" width="19.28515625" style="2" customWidth="1"/>
    <col min="2824" max="2824" width="18.5703125" style="2" customWidth="1"/>
    <col min="2825" max="2825" width="0.7109375" style="2" customWidth="1"/>
    <col min="2826" max="2826" width="24" style="2" bestFit="1" customWidth="1"/>
    <col min="2827" max="2827" width="18.7109375" style="2" bestFit="1" customWidth="1"/>
    <col min="2828" max="2828" width="19.42578125" style="2" bestFit="1" customWidth="1"/>
    <col min="2829" max="2829" width="0.5703125" style="2" customWidth="1"/>
    <col min="2830" max="2831" width="18.7109375" style="2" bestFit="1" customWidth="1"/>
    <col min="2832" max="2832" width="16.5703125" style="2" customWidth="1"/>
    <col min="2833" max="2833" width="0.7109375" style="2" customWidth="1"/>
    <col min="2834" max="2835" width="19.85546875" style="2" bestFit="1" customWidth="1"/>
    <col min="2836" max="2836" width="18.7109375" style="2" bestFit="1" customWidth="1"/>
    <col min="2837" max="2837" width="14.5703125" style="2" customWidth="1"/>
    <col min="2838" max="2838" width="9.140625" style="2"/>
    <col min="2839" max="2839" width="13.140625" style="2" bestFit="1" customWidth="1"/>
    <col min="2840" max="3072" width="9.140625" style="2"/>
    <col min="3073" max="3076" width="2.7109375" style="2" customWidth="1"/>
    <col min="3077" max="3077" width="50.5703125" style="2" customWidth="1"/>
    <col min="3078" max="3079" width="19.28515625" style="2" customWidth="1"/>
    <col min="3080" max="3080" width="18.5703125" style="2" customWidth="1"/>
    <col min="3081" max="3081" width="0.7109375" style="2" customWidth="1"/>
    <col min="3082" max="3082" width="24" style="2" bestFit="1" customWidth="1"/>
    <col min="3083" max="3083" width="18.7109375" style="2" bestFit="1" customWidth="1"/>
    <col min="3084" max="3084" width="19.42578125" style="2" bestFit="1" customWidth="1"/>
    <col min="3085" max="3085" width="0.5703125" style="2" customWidth="1"/>
    <col min="3086" max="3087" width="18.7109375" style="2" bestFit="1" customWidth="1"/>
    <col min="3088" max="3088" width="16.5703125" style="2" customWidth="1"/>
    <col min="3089" max="3089" width="0.7109375" style="2" customWidth="1"/>
    <col min="3090" max="3091" width="19.85546875" style="2" bestFit="1" customWidth="1"/>
    <col min="3092" max="3092" width="18.7109375" style="2" bestFit="1" customWidth="1"/>
    <col min="3093" max="3093" width="14.5703125" style="2" customWidth="1"/>
    <col min="3094" max="3094" width="9.140625" style="2"/>
    <col min="3095" max="3095" width="13.140625" style="2" bestFit="1" customWidth="1"/>
    <col min="3096" max="3328" width="9.140625" style="2"/>
    <col min="3329" max="3332" width="2.7109375" style="2" customWidth="1"/>
    <col min="3333" max="3333" width="50.5703125" style="2" customWidth="1"/>
    <col min="3334" max="3335" width="19.28515625" style="2" customWidth="1"/>
    <col min="3336" max="3336" width="18.5703125" style="2" customWidth="1"/>
    <col min="3337" max="3337" width="0.7109375" style="2" customWidth="1"/>
    <col min="3338" max="3338" width="24" style="2" bestFit="1" customWidth="1"/>
    <col min="3339" max="3339" width="18.7109375" style="2" bestFit="1" customWidth="1"/>
    <col min="3340" max="3340" width="19.42578125" style="2" bestFit="1" customWidth="1"/>
    <col min="3341" max="3341" width="0.5703125" style="2" customWidth="1"/>
    <col min="3342" max="3343" width="18.7109375" style="2" bestFit="1" customWidth="1"/>
    <col min="3344" max="3344" width="16.5703125" style="2" customWidth="1"/>
    <col min="3345" max="3345" width="0.7109375" style="2" customWidth="1"/>
    <col min="3346" max="3347" width="19.85546875" style="2" bestFit="1" customWidth="1"/>
    <col min="3348" max="3348" width="18.7109375" style="2" bestFit="1" customWidth="1"/>
    <col min="3349" max="3349" width="14.5703125" style="2" customWidth="1"/>
    <col min="3350" max="3350" width="9.140625" style="2"/>
    <col min="3351" max="3351" width="13.140625" style="2" bestFit="1" customWidth="1"/>
    <col min="3352" max="3584" width="9.140625" style="2"/>
    <col min="3585" max="3588" width="2.7109375" style="2" customWidth="1"/>
    <col min="3589" max="3589" width="50.5703125" style="2" customWidth="1"/>
    <col min="3590" max="3591" width="19.28515625" style="2" customWidth="1"/>
    <col min="3592" max="3592" width="18.5703125" style="2" customWidth="1"/>
    <col min="3593" max="3593" width="0.7109375" style="2" customWidth="1"/>
    <col min="3594" max="3594" width="24" style="2" bestFit="1" customWidth="1"/>
    <col min="3595" max="3595" width="18.7109375" style="2" bestFit="1" customWidth="1"/>
    <col min="3596" max="3596" width="19.42578125" style="2" bestFit="1" customWidth="1"/>
    <col min="3597" max="3597" width="0.5703125" style="2" customWidth="1"/>
    <col min="3598" max="3599" width="18.7109375" style="2" bestFit="1" customWidth="1"/>
    <col min="3600" max="3600" width="16.5703125" style="2" customWidth="1"/>
    <col min="3601" max="3601" width="0.7109375" style="2" customWidth="1"/>
    <col min="3602" max="3603" width="19.85546875" style="2" bestFit="1" customWidth="1"/>
    <col min="3604" max="3604" width="18.7109375" style="2" bestFit="1" customWidth="1"/>
    <col min="3605" max="3605" width="14.5703125" style="2" customWidth="1"/>
    <col min="3606" max="3606" width="9.140625" style="2"/>
    <col min="3607" max="3607" width="13.140625" style="2" bestFit="1" customWidth="1"/>
    <col min="3608" max="3840" width="9.140625" style="2"/>
    <col min="3841" max="3844" width="2.7109375" style="2" customWidth="1"/>
    <col min="3845" max="3845" width="50.5703125" style="2" customWidth="1"/>
    <col min="3846" max="3847" width="19.28515625" style="2" customWidth="1"/>
    <col min="3848" max="3848" width="18.5703125" style="2" customWidth="1"/>
    <col min="3849" max="3849" width="0.7109375" style="2" customWidth="1"/>
    <col min="3850" max="3850" width="24" style="2" bestFit="1" customWidth="1"/>
    <col min="3851" max="3851" width="18.7109375" style="2" bestFit="1" customWidth="1"/>
    <col min="3852" max="3852" width="19.42578125" style="2" bestFit="1" customWidth="1"/>
    <col min="3853" max="3853" width="0.5703125" style="2" customWidth="1"/>
    <col min="3854" max="3855" width="18.7109375" style="2" bestFit="1" customWidth="1"/>
    <col min="3856" max="3856" width="16.5703125" style="2" customWidth="1"/>
    <col min="3857" max="3857" width="0.7109375" style="2" customWidth="1"/>
    <col min="3858" max="3859" width="19.85546875" style="2" bestFit="1" customWidth="1"/>
    <col min="3860" max="3860" width="18.7109375" style="2" bestFit="1" customWidth="1"/>
    <col min="3861" max="3861" width="14.5703125" style="2" customWidth="1"/>
    <col min="3862" max="3862" width="9.140625" style="2"/>
    <col min="3863" max="3863" width="13.140625" style="2" bestFit="1" customWidth="1"/>
    <col min="3864" max="4096" width="9.140625" style="2"/>
    <col min="4097" max="4100" width="2.7109375" style="2" customWidth="1"/>
    <col min="4101" max="4101" width="50.5703125" style="2" customWidth="1"/>
    <col min="4102" max="4103" width="19.28515625" style="2" customWidth="1"/>
    <col min="4104" max="4104" width="18.5703125" style="2" customWidth="1"/>
    <col min="4105" max="4105" width="0.7109375" style="2" customWidth="1"/>
    <col min="4106" max="4106" width="24" style="2" bestFit="1" customWidth="1"/>
    <col min="4107" max="4107" width="18.7109375" style="2" bestFit="1" customWidth="1"/>
    <col min="4108" max="4108" width="19.42578125" style="2" bestFit="1" customWidth="1"/>
    <col min="4109" max="4109" width="0.5703125" style="2" customWidth="1"/>
    <col min="4110" max="4111" width="18.7109375" style="2" bestFit="1" customWidth="1"/>
    <col min="4112" max="4112" width="16.5703125" style="2" customWidth="1"/>
    <col min="4113" max="4113" width="0.7109375" style="2" customWidth="1"/>
    <col min="4114" max="4115" width="19.85546875" style="2" bestFit="1" customWidth="1"/>
    <col min="4116" max="4116" width="18.7109375" style="2" bestFit="1" customWidth="1"/>
    <col min="4117" max="4117" width="14.5703125" style="2" customWidth="1"/>
    <col min="4118" max="4118" width="9.140625" style="2"/>
    <col min="4119" max="4119" width="13.140625" style="2" bestFit="1" customWidth="1"/>
    <col min="4120" max="4352" width="9.140625" style="2"/>
    <col min="4353" max="4356" width="2.7109375" style="2" customWidth="1"/>
    <col min="4357" max="4357" width="50.5703125" style="2" customWidth="1"/>
    <col min="4358" max="4359" width="19.28515625" style="2" customWidth="1"/>
    <col min="4360" max="4360" width="18.5703125" style="2" customWidth="1"/>
    <col min="4361" max="4361" width="0.7109375" style="2" customWidth="1"/>
    <col min="4362" max="4362" width="24" style="2" bestFit="1" customWidth="1"/>
    <col min="4363" max="4363" width="18.7109375" style="2" bestFit="1" customWidth="1"/>
    <col min="4364" max="4364" width="19.42578125" style="2" bestFit="1" customWidth="1"/>
    <col min="4365" max="4365" width="0.5703125" style="2" customWidth="1"/>
    <col min="4366" max="4367" width="18.7109375" style="2" bestFit="1" customWidth="1"/>
    <col min="4368" max="4368" width="16.5703125" style="2" customWidth="1"/>
    <col min="4369" max="4369" width="0.7109375" style="2" customWidth="1"/>
    <col min="4370" max="4371" width="19.85546875" style="2" bestFit="1" customWidth="1"/>
    <col min="4372" max="4372" width="18.7109375" style="2" bestFit="1" customWidth="1"/>
    <col min="4373" max="4373" width="14.5703125" style="2" customWidth="1"/>
    <col min="4374" max="4374" width="9.140625" style="2"/>
    <col min="4375" max="4375" width="13.140625" style="2" bestFit="1" customWidth="1"/>
    <col min="4376" max="4608" width="9.140625" style="2"/>
    <col min="4609" max="4612" width="2.7109375" style="2" customWidth="1"/>
    <col min="4613" max="4613" width="50.5703125" style="2" customWidth="1"/>
    <col min="4614" max="4615" width="19.28515625" style="2" customWidth="1"/>
    <col min="4616" max="4616" width="18.5703125" style="2" customWidth="1"/>
    <col min="4617" max="4617" width="0.7109375" style="2" customWidth="1"/>
    <col min="4618" max="4618" width="24" style="2" bestFit="1" customWidth="1"/>
    <col min="4619" max="4619" width="18.7109375" style="2" bestFit="1" customWidth="1"/>
    <col min="4620" max="4620" width="19.42578125" style="2" bestFit="1" customWidth="1"/>
    <col min="4621" max="4621" width="0.5703125" style="2" customWidth="1"/>
    <col min="4622" max="4623" width="18.7109375" style="2" bestFit="1" customWidth="1"/>
    <col min="4624" max="4624" width="16.5703125" style="2" customWidth="1"/>
    <col min="4625" max="4625" width="0.7109375" style="2" customWidth="1"/>
    <col min="4626" max="4627" width="19.85546875" style="2" bestFit="1" customWidth="1"/>
    <col min="4628" max="4628" width="18.7109375" style="2" bestFit="1" customWidth="1"/>
    <col min="4629" max="4629" width="14.5703125" style="2" customWidth="1"/>
    <col min="4630" max="4630" width="9.140625" style="2"/>
    <col min="4631" max="4631" width="13.140625" style="2" bestFit="1" customWidth="1"/>
    <col min="4632" max="4864" width="9.140625" style="2"/>
    <col min="4865" max="4868" width="2.7109375" style="2" customWidth="1"/>
    <col min="4869" max="4869" width="50.5703125" style="2" customWidth="1"/>
    <col min="4870" max="4871" width="19.28515625" style="2" customWidth="1"/>
    <col min="4872" max="4872" width="18.5703125" style="2" customWidth="1"/>
    <col min="4873" max="4873" width="0.7109375" style="2" customWidth="1"/>
    <col min="4874" max="4874" width="24" style="2" bestFit="1" customWidth="1"/>
    <col min="4875" max="4875" width="18.7109375" style="2" bestFit="1" customWidth="1"/>
    <col min="4876" max="4876" width="19.42578125" style="2" bestFit="1" customWidth="1"/>
    <col min="4877" max="4877" width="0.5703125" style="2" customWidth="1"/>
    <col min="4878" max="4879" width="18.7109375" style="2" bestFit="1" customWidth="1"/>
    <col min="4880" max="4880" width="16.5703125" style="2" customWidth="1"/>
    <col min="4881" max="4881" width="0.7109375" style="2" customWidth="1"/>
    <col min="4882" max="4883" width="19.85546875" style="2" bestFit="1" customWidth="1"/>
    <col min="4884" max="4884" width="18.7109375" style="2" bestFit="1" customWidth="1"/>
    <col min="4885" max="4885" width="14.5703125" style="2" customWidth="1"/>
    <col min="4886" max="4886" width="9.140625" style="2"/>
    <col min="4887" max="4887" width="13.140625" style="2" bestFit="1" customWidth="1"/>
    <col min="4888" max="5120" width="9.140625" style="2"/>
    <col min="5121" max="5124" width="2.7109375" style="2" customWidth="1"/>
    <col min="5125" max="5125" width="50.5703125" style="2" customWidth="1"/>
    <col min="5126" max="5127" width="19.28515625" style="2" customWidth="1"/>
    <col min="5128" max="5128" width="18.5703125" style="2" customWidth="1"/>
    <col min="5129" max="5129" width="0.7109375" style="2" customWidth="1"/>
    <col min="5130" max="5130" width="24" style="2" bestFit="1" customWidth="1"/>
    <col min="5131" max="5131" width="18.7109375" style="2" bestFit="1" customWidth="1"/>
    <col min="5132" max="5132" width="19.42578125" style="2" bestFit="1" customWidth="1"/>
    <col min="5133" max="5133" width="0.5703125" style="2" customWidth="1"/>
    <col min="5134" max="5135" width="18.7109375" style="2" bestFit="1" customWidth="1"/>
    <col min="5136" max="5136" width="16.5703125" style="2" customWidth="1"/>
    <col min="5137" max="5137" width="0.7109375" style="2" customWidth="1"/>
    <col min="5138" max="5139" width="19.85546875" style="2" bestFit="1" customWidth="1"/>
    <col min="5140" max="5140" width="18.7109375" style="2" bestFit="1" customWidth="1"/>
    <col min="5141" max="5141" width="14.5703125" style="2" customWidth="1"/>
    <col min="5142" max="5142" width="9.140625" style="2"/>
    <col min="5143" max="5143" width="13.140625" style="2" bestFit="1" customWidth="1"/>
    <col min="5144" max="5376" width="9.140625" style="2"/>
    <col min="5377" max="5380" width="2.7109375" style="2" customWidth="1"/>
    <col min="5381" max="5381" width="50.5703125" style="2" customWidth="1"/>
    <col min="5382" max="5383" width="19.28515625" style="2" customWidth="1"/>
    <col min="5384" max="5384" width="18.5703125" style="2" customWidth="1"/>
    <col min="5385" max="5385" width="0.7109375" style="2" customWidth="1"/>
    <col min="5386" max="5386" width="24" style="2" bestFit="1" customWidth="1"/>
    <col min="5387" max="5387" width="18.7109375" style="2" bestFit="1" customWidth="1"/>
    <col min="5388" max="5388" width="19.42578125" style="2" bestFit="1" customWidth="1"/>
    <col min="5389" max="5389" width="0.5703125" style="2" customWidth="1"/>
    <col min="5390" max="5391" width="18.7109375" style="2" bestFit="1" customWidth="1"/>
    <col min="5392" max="5392" width="16.5703125" style="2" customWidth="1"/>
    <col min="5393" max="5393" width="0.7109375" style="2" customWidth="1"/>
    <col min="5394" max="5395" width="19.85546875" style="2" bestFit="1" customWidth="1"/>
    <col min="5396" max="5396" width="18.7109375" style="2" bestFit="1" customWidth="1"/>
    <col min="5397" max="5397" width="14.5703125" style="2" customWidth="1"/>
    <col min="5398" max="5398" width="9.140625" style="2"/>
    <col min="5399" max="5399" width="13.140625" style="2" bestFit="1" customWidth="1"/>
    <col min="5400" max="5632" width="9.140625" style="2"/>
    <col min="5633" max="5636" width="2.7109375" style="2" customWidth="1"/>
    <col min="5637" max="5637" width="50.5703125" style="2" customWidth="1"/>
    <col min="5638" max="5639" width="19.28515625" style="2" customWidth="1"/>
    <col min="5640" max="5640" width="18.5703125" style="2" customWidth="1"/>
    <col min="5641" max="5641" width="0.7109375" style="2" customWidth="1"/>
    <col min="5642" max="5642" width="24" style="2" bestFit="1" customWidth="1"/>
    <col min="5643" max="5643" width="18.7109375" style="2" bestFit="1" customWidth="1"/>
    <col min="5644" max="5644" width="19.42578125" style="2" bestFit="1" customWidth="1"/>
    <col min="5645" max="5645" width="0.5703125" style="2" customWidth="1"/>
    <col min="5646" max="5647" width="18.7109375" style="2" bestFit="1" customWidth="1"/>
    <col min="5648" max="5648" width="16.5703125" style="2" customWidth="1"/>
    <col min="5649" max="5649" width="0.7109375" style="2" customWidth="1"/>
    <col min="5650" max="5651" width="19.85546875" style="2" bestFit="1" customWidth="1"/>
    <col min="5652" max="5652" width="18.7109375" style="2" bestFit="1" customWidth="1"/>
    <col min="5653" max="5653" width="14.5703125" style="2" customWidth="1"/>
    <col min="5654" max="5654" width="9.140625" style="2"/>
    <col min="5655" max="5655" width="13.140625" style="2" bestFit="1" customWidth="1"/>
    <col min="5656" max="5888" width="9.140625" style="2"/>
    <col min="5889" max="5892" width="2.7109375" style="2" customWidth="1"/>
    <col min="5893" max="5893" width="50.5703125" style="2" customWidth="1"/>
    <col min="5894" max="5895" width="19.28515625" style="2" customWidth="1"/>
    <col min="5896" max="5896" width="18.5703125" style="2" customWidth="1"/>
    <col min="5897" max="5897" width="0.7109375" style="2" customWidth="1"/>
    <col min="5898" max="5898" width="24" style="2" bestFit="1" customWidth="1"/>
    <col min="5899" max="5899" width="18.7109375" style="2" bestFit="1" customWidth="1"/>
    <col min="5900" max="5900" width="19.42578125" style="2" bestFit="1" customWidth="1"/>
    <col min="5901" max="5901" width="0.5703125" style="2" customWidth="1"/>
    <col min="5902" max="5903" width="18.7109375" style="2" bestFit="1" customWidth="1"/>
    <col min="5904" max="5904" width="16.5703125" style="2" customWidth="1"/>
    <col min="5905" max="5905" width="0.7109375" style="2" customWidth="1"/>
    <col min="5906" max="5907" width="19.85546875" style="2" bestFit="1" customWidth="1"/>
    <col min="5908" max="5908" width="18.7109375" style="2" bestFit="1" customWidth="1"/>
    <col min="5909" max="5909" width="14.5703125" style="2" customWidth="1"/>
    <col min="5910" max="5910" width="9.140625" style="2"/>
    <col min="5911" max="5911" width="13.140625" style="2" bestFit="1" customWidth="1"/>
    <col min="5912" max="6144" width="9.140625" style="2"/>
    <col min="6145" max="6148" width="2.7109375" style="2" customWidth="1"/>
    <col min="6149" max="6149" width="50.5703125" style="2" customWidth="1"/>
    <col min="6150" max="6151" width="19.28515625" style="2" customWidth="1"/>
    <col min="6152" max="6152" width="18.5703125" style="2" customWidth="1"/>
    <col min="6153" max="6153" width="0.7109375" style="2" customWidth="1"/>
    <col min="6154" max="6154" width="24" style="2" bestFit="1" customWidth="1"/>
    <col min="6155" max="6155" width="18.7109375" style="2" bestFit="1" customWidth="1"/>
    <col min="6156" max="6156" width="19.42578125" style="2" bestFit="1" customWidth="1"/>
    <col min="6157" max="6157" width="0.5703125" style="2" customWidth="1"/>
    <col min="6158" max="6159" width="18.7109375" style="2" bestFit="1" customWidth="1"/>
    <col min="6160" max="6160" width="16.5703125" style="2" customWidth="1"/>
    <col min="6161" max="6161" width="0.7109375" style="2" customWidth="1"/>
    <col min="6162" max="6163" width="19.85546875" style="2" bestFit="1" customWidth="1"/>
    <col min="6164" max="6164" width="18.7109375" style="2" bestFit="1" customWidth="1"/>
    <col min="6165" max="6165" width="14.5703125" style="2" customWidth="1"/>
    <col min="6166" max="6166" width="9.140625" style="2"/>
    <col min="6167" max="6167" width="13.140625" style="2" bestFit="1" customWidth="1"/>
    <col min="6168" max="6400" width="9.140625" style="2"/>
    <col min="6401" max="6404" width="2.7109375" style="2" customWidth="1"/>
    <col min="6405" max="6405" width="50.5703125" style="2" customWidth="1"/>
    <col min="6406" max="6407" width="19.28515625" style="2" customWidth="1"/>
    <col min="6408" max="6408" width="18.5703125" style="2" customWidth="1"/>
    <col min="6409" max="6409" width="0.7109375" style="2" customWidth="1"/>
    <col min="6410" max="6410" width="24" style="2" bestFit="1" customWidth="1"/>
    <col min="6411" max="6411" width="18.7109375" style="2" bestFit="1" customWidth="1"/>
    <col min="6412" max="6412" width="19.42578125" style="2" bestFit="1" customWidth="1"/>
    <col min="6413" max="6413" width="0.5703125" style="2" customWidth="1"/>
    <col min="6414" max="6415" width="18.7109375" style="2" bestFit="1" customWidth="1"/>
    <col min="6416" max="6416" width="16.5703125" style="2" customWidth="1"/>
    <col min="6417" max="6417" width="0.7109375" style="2" customWidth="1"/>
    <col min="6418" max="6419" width="19.85546875" style="2" bestFit="1" customWidth="1"/>
    <col min="6420" max="6420" width="18.7109375" style="2" bestFit="1" customWidth="1"/>
    <col min="6421" max="6421" width="14.5703125" style="2" customWidth="1"/>
    <col min="6422" max="6422" width="9.140625" style="2"/>
    <col min="6423" max="6423" width="13.140625" style="2" bestFit="1" customWidth="1"/>
    <col min="6424" max="6656" width="9.140625" style="2"/>
    <col min="6657" max="6660" width="2.7109375" style="2" customWidth="1"/>
    <col min="6661" max="6661" width="50.5703125" style="2" customWidth="1"/>
    <col min="6662" max="6663" width="19.28515625" style="2" customWidth="1"/>
    <col min="6664" max="6664" width="18.5703125" style="2" customWidth="1"/>
    <col min="6665" max="6665" width="0.7109375" style="2" customWidth="1"/>
    <col min="6666" max="6666" width="24" style="2" bestFit="1" customWidth="1"/>
    <col min="6667" max="6667" width="18.7109375" style="2" bestFit="1" customWidth="1"/>
    <col min="6668" max="6668" width="19.42578125" style="2" bestFit="1" customWidth="1"/>
    <col min="6669" max="6669" width="0.5703125" style="2" customWidth="1"/>
    <col min="6670" max="6671" width="18.7109375" style="2" bestFit="1" customWidth="1"/>
    <col min="6672" max="6672" width="16.5703125" style="2" customWidth="1"/>
    <col min="6673" max="6673" width="0.7109375" style="2" customWidth="1"/>
    <col min="6674" max="6675" width="19.85546875" style="2" bestFit="1" customWidth="1"/>
    <col min="6676" max="6676" width="18.7109375" style="2" bestFit="1" customWidth="1"/>
    <col min="6677" max="6677" width="14.5703125" style="2" customWidth="1"/>
    <col min="6678" max="6678" width="9.140625" style="2"/>
    <col min="6679" max="6679" width="13.140625" style="2" bestFit="1" customWidth="1"/>
    <col min="6680" max="6912" width="9.140625" style="2"/>
    <col min="6913" max="6916" width="2.7109375" style="2" customWidth="1"/>
    <col min="6917" max="6917" width="50.5703125" style="2" customWidth="1"/>
    <col min="6918" max="6919" width="19.28515625" style="2" customWidth="1"/>
    <col min="6920" max="6920" width="18.5703125" style="2" customWidth="1"/>
    <col min="6921" max="6921" width="0.7109375" style="2" customWidth="1"/>
    <col min="6922" max="6922" width="24" style="2" bestFit="1" customWidth="1"/>
    <col min="6923" max="6923" width="18.7109375" style="2" bestFit="1" customWidth="1"/>
    <col min="6924" max="6924" width="19.42578125" style="2" bestFit="1" customWidth="1"/>
    <col min="6925" max="6925" width="0.5703125" style="2" customWidth="1"/>
    <col min="6926" max="6927" width="18.7109375" style="2" bestFit="1" customWidth="1"/>
    <col min="6928" max="6928" width="16.5703125" style="2" customWidth="1"/>
    <col min="6929" max="6929" width="0.7109375" style="2" customWidth="1"/>
    <col min="6930" max="6931" width="19.85546875" style="2" bestFit="1" customWidth="1"/>
    <col min="6932" max="6932" width="18.7109375" style="2" bestFit="1" customWidth="1"/>
    <col min="6933" max="6933" width="14.5703125" style="2" customWidth="1"/>
    <col min="6934" max="6934" width="9.140625" style="2"/>
    <col min="6935" max="6935" width="13.140625" style="2" bestFit="1" customWidth="1"/>
    <col min="6936" max="7168" width="9.140625" style="2"/>
    <col min="7169" max="7172" width="2.7109375" style="2" customWidth="1"/>
    <col min="7173" max="7173" width="50.5703125" style="2" customWidth="1"/>
    <col min="7174" max="7175" width="19.28515625" style="2" customWidth="1"/>
    <col min="7176" max="7176" width="18.5703125" style="2" customWidth="1"/>
    <col min="7177" max="7177" width="0.7109375" style="2" customWidth="1"/>
    <col min="7178" max="7178" width="24" style="2" bestFit="1" customWidth="1"/>
    <col min="7179" max="7179" width="18.7109375" style="2" bestFit="1" customWidth="1"/>
    <col min="7180" max="7180" width="19.42578125" style="2" bestFit="1" customWidth="1"/>
    <col min="7181" max="7181" width="0.5703125" style="2" customWidth="1"/>
    <col min="7182" max="7183" width="18.7109375" style="2" bestFit="1" customWidth="1"/>
    <col min="7184" max="7184" width="16.5703125" style="2" customWidth="1"/>
    <col min="7185" max="7185" width="0.7109375" style="2" customWidth="1"/>
    <col min="7186" max="7187" width="19.85546875" style="2" bestFit="1" customWidth="1"/>
    <col min="7188" max="7188" width="18.7109375" style="2" bestFit="1" customWidth="1"/>
    <col min="7189" max="7189" width="14.5703125" style="2" customWidth="1"/>
    <col min="7190" max="7190" width="9.140625" style="2"/>
    <col min="7191" max="7191" width="13.140625" style="2" bestFit="1" customWidth="1"/>
    <col min="7192" max="7424" width="9.140625" style="2"/>
    <col min="7425" max="7428" width="2.7109375" style="2" customWidth="1"/>
    <col min="7429" max="7429" width="50.5703125" style="2" customWidth="1"/>
    <col min="7430" max="7431" width="19.28515625" style="2" customWidth="1"/>
    <col min="7432" max="7432" width="18.5703125" style="2" customWidth="1"/>
    <col min="7433" max="7433" width="0.7109375" style="2" customWidth="1"/>
    <col min="7434" max="7434" width="24" style="2" bestFit="1" customWidth="1"/>
    <col min="7435" max="7435" width="18.7109375" style="2" bestFit="1" customWidth="1"/>
    <col min="7436" max="7436" width="19.42578125" style="2" bestFit="1" customWidth="1"/>
    <col min="7437" max="7437" width="0.5703125" style="2" customWidth="1"/>
    <col min="7438" max="7439" width="18.7109375" style="2" bestFit="1" customWidth="1"/>
    <col min="7440" max="7440" width="16.5703125" style="2" customWidth="1"/>
    <col min="7441" max="7441" width="0.7109375" style="2" customWidth="1"/>
    <col min="7442" max="7443" width="19.85546875" style="2" bestFit="1" customWidth="1"/>
    <col min="7444" max="7444" width="18.7109375" style="2" bestFit="1" customWidth="1"/>
    <col min="7445" max="7445" width="14.5703125" style="2" customWidth="1"/>
    <col min="7446" max="7446" width="9.140625" style="2"/>
    <col min="7447" max="7447" width="13.140625" style="2" bestFit="1" customWidth="1"/>
    <col min="7448" max="7680" width="9.140625" style="2"/>
    <col min="7681" max="7684" width="2.7109375" style="2" customWidth="1"/>
    <col min="7685" max="7685" width="50.5703125" style="2" customWidth="1"/>
    <col min="7686" max="7687" width="19.28515625" style="2" customWidth="1"/>
    <col min="7688" max="7688" width="18.5703125" style="2" customWidth="1"/>
    <col min="7689" max="7689" width="0.7109375" style="2" customWidth="1"/>
    <col min="7690" max="7690" width="24" style="2" bestFit="1" customWidth="1"/>
    <col min="7691" max="7691" width="18.7109375" style="2" bestFit="1" customWidth="1"/>
    <col min="7692" max="7692" width="19.42578125" style="2" bestFit="1" customWidth="1"/>
    <col min="7693" max="7693" width="0.5703125" style="2" customWidth="1"/>
    <col min="7694" max="7695" width="18.7109375" style="2" bestFit="1" customWidth="1"/>
    <col min="7696" max="7696" width="16.5703125" style="2" customWidth="1"/>
    <col min="7697" max="7697" width="0.7109375" style="2" customWidth="1"/>
    <col min="7698" max="7699" width="19.85546875" style="2" bestFit="1" customWidth="1"/>
    <col min="7700" max="7700" width="18.7109375" style="2" bestFit="1" customWidth="1"/>
    <col min="7701" max="7701" width="14.5703125" style="2" customWidth="1"/>
    <col min="7702" max="7702" width="9.140625" style="2"/>
    <col min="7703" max="7703" width="13.140625" style="2" bestFit="1" customWidth="1"/>
    <col min="7704" max="7936" width="9.140625" style="2"/>
    <col min="7937" max="7940" width="2.7109375" style="2" customWidth="1"/>
    <col min="7941" max="7941" width="50.5703125" style="2" customWidth="1"/>
    <col min="7942" max="7943" width="19.28515625" style="2" customWidth="1"/>
    <col min="7944" max="7944" width="18.5703125" style="2" customWidth="1"/>
    <col min="7945" max="7945" width="0.7109375" style="2" customWidth="1"/>
    <col min="7946" max="7946" width="24" style="2" bestFit="1" customWidth="1"/>
    <col min="7947" max="7947" width="18.7109375" style="2" bestFit="1" customWidth="1"/>
    <col min="7948" max="7948" width="19.42578125" style="2" bestFit="1" customWidth="1"/>
    <col min="7949" max="7949" width="0.5703125" style="2" customWidth="1"/>
    <col min="7950" max="7951" width="18.7109375" style="2" bestFit="1" customWidth="1"/>
    <col min="7952" max="7952" width="16.5703125" style="2" customWidth="1"/>
    <col min="7953" max="7953" width="0.7109375" style="2" customWidth="1"/>
    <col min="7954" max="7955" width="19.85546875" style="2" bestFit="1" customWidth="1"/>
    <col min="7956" max="7956" width="18.7109375" style="2" bestFit="1" customWidth="1"/>
    <col min="7957" max="7957" width="14.5703125" style="2" customWidth="1"/>
    <col min="7958" max="7958" width="9.140625" style="2"/>
    <col min="7959" max="7959" width="13.140625" style="2" bestFit="1" customWidth="1"/>
    <col min="7960" max="8192" width="9.140625" style="2"/>
    <col min="8193" max="8196" width="2.7109375" style="2" customWidth="1"/>
    <col min="8197" max="8197" width="50.5703125" style="2" customWidth="1"/>
    <col min="8198" max="8199" width="19.28515625" style="2" customWidth="1"/>
    <col min="8200" max="8200" width="18.5703125" style="2" customWidth="1"/>
    <col min="8201" max="8201" width="0.7109375" style="2" customWidth="1"/>
    <col min="8202" max="8202" width="24" style="2" bestFit="1" customWidth="1"/>
    <col min="8203" max="8203" width="18.7109375" style="2" bestFit="1" customWidth="1"/>
    <col min="8204" max="8204" width="19.42578125" style="2" bestFit="1" customWidth="1"/>
    <col min="8205" max="8205" width="0.5703125" style="2" customWidth="1"/>
    <col min="8206" max="8207" width="18.7109375" style="2" bestFit="1" customWidth="1"/>
    <col min="8208" max="8208" width="16.5703125" style="2" customWidth="1"/>
    <col min="8209" max="8209" width="0.7109375" style="2" customWidth="1"/>
    <col min="8210" max="8211" width="19.85546875" style="2" bestFit="1" customWidth="1"/>
    <col min="8212" max="8212" width="18.7109375" style="2" bestFit="1" customWidth="1"/>
    <col min="8213" max="8213" width="14.5703125" style="2" customWidth="1"/>
    <col min="8214" max="8214" width="9.140625" style="2"/>
    <col min="8215" max="8215" width="13.140625" style="2" bestFit="1" customWidth="1"/>
    <col min="8216" max="8448" width="9.140625" style="2"/>
    <col min="8449" max="8452" width="2.7109375" style="2" customWidth="1"/>
    <col min="8453" max="8453" width="50.5703125" style="2" customWidth="1"/>
    <col min="8454" max="8455" width="19.28515625" style="2" customWidth="1"/>
    <col min="8456" max="8456" width="18.5703125" style="2" customWidth="1"/>
    <col min="8457" max="8457" width="0.7109375" style="2" customWidth="1"/>
    <col min="8458" max="8458" width="24" style="2" bestFit="1" customWidth="1"/>
    <col min="8459" max="8459" width="18.7109375" style="2" bestFit="1" customWidth="1"/>
    <col min="8460" max="8460" width="19.42578125" style="2" bestFit="1" customWidth="1"/>
    <col min="8461" max="8461" width="0.5703125" style="2" customWidth="1"/>
    <col min="8462" max="8463" width="18.7109375" style="2" bestFit="1" customWidth="1"/>
    <col min="8464" max="8464" width="16.5703125" style="2" customWidth="1"/>
    <col min="8465" max="8465" width="0.7109375" style="2" customWidth="1"/>
    <col min="8466" max="8467" width="19.85546875" style="2" bestFit="1" customWidth="1"/>
    <col min="8468" max="8468" width="18.7109375" style="2" bestFit="1" customWidth="1"/>
    <col min="8469" max="8469" width="14.5703125" style="2" customWidth="1"/>
    <col min="8470" max="8470" width="9.140625" style="2"/>
    <col min="8471" max="8471" width="13.140625" style="2" bestFit="1" customWidth="1"/>
    <col min="8472" max="8704" width="9.140625" style="2"/>
    <col min="8705" max="8708" width="2.7109375" style="2" customWidth="1"/>
    <col min="8709" max="8709" width="50.5703125" style="2" customWidth="1"/>
    <col min="8710" max="8711" width="19.28515625" style="2" customWidth="1"/>
    <col min="8712" max="8712" width="18.5703125" style="2" customWidth="1"/>
    <col min="8713" max="8713" width="0.7109375" style="2" customWidth="1"/>
    <col min="8714" max="8714" width="24" style="2" bestFit="1" customWidth="1"/>
    <col min="8715" max="8715" width="18.7109375" style="2" bestFit="1" customWidth="1"/>
    <col min="8716" max="8716" width="19.42578125" style="2" bestFit="1" customWidth="1"/>
    <col min="8717" max="8717" width="0.5703125" style="2" customWidth="1"/>
    <col min="8718" max="8719" width="18.7109375" style="2" bestFit="1" customWidth="1"/>
    <col min="8720" max="8720" width="16.5703125" style="2" customWidth="1"/>
    <col min="8721" max="8721" width="0.7109375" style="2" customWidth="1"/>
    <col min="8722" max="8723" width="19.85546875" style="2" bestFit="1" customWidth="1"/>
    <col min="8724" max="8724" width="18.7109375" style="2" bestFit="1" customWidth="1"/>
    <col min="8725" max="8725" width="14.5703125" style="2" customWidth="1"/>
    <col min="8726" max="8726" width="9.140625" style="2"/>
    <col min="8727" max="8727" width="13.140625" style="2" bestFit="1" customWidth="1"/>
    <col min="8728" max="8960" width="9.140625" style="2"/>
    <col min="8961" max="8964" width="2.7109375" style="2" customWidth="1"/>
    <col min="8965" max="8965" width="50.5703125" style="2" customWidth="1"/>
    <col min="8966" max="8967" width="19.28515625" style="2" customWidth="1"/>
    <col min="8968" max="8968" width="18.5703125" style="2" customWidth="1"/>
    <col min="8969" max="8969" width="0.7109375" style="2" customWidth="1"/>
    <col min="8970" max="8970" width="24" style="2" bestFit="1" customWidth="1"/>
    <col min="8971" max="8971" width="18.7109375" style="2" bestFit="1" customWidth="1"/>
    <col min="8972" max="8972" width="19.42578125" style="2" bestFit="1" customWidth="1"/>
    <col min="8973" max="8973" width="0.5703125" style="2" customWidth="1"/>
    <col min="8974" max="8975" width="18.7109375" style="2" bestFit="1" customWidth="1"/>
    <col min="8976" max="8976" width="16.5703125" style="2" customWidth="1"/>
    <col min="8977" max="8977" width="0.7109375" style="2" customWidth="1"/>
    <col min="8978" max="8979" width="19.85546875" style="2" bestFit="1" customWidth="1"/>
    <col min="8980" max="8980" width="18.7109375" style="2" bestFit="1" customWidth="1"/>
    <col min="8981" max="8981" width="14.5703125" style="2" customWidth="1"/>
    <col min="8982" max="8982" width="9.140625" style="2"/>
    <col min="8983" max="8983" width="13.140625" style="2" bestFit="1" customWidth="1"/>
    <col min="8984" max="9216" width="9.140625" style="2"/>
    <col min="9217" max="9220" width="2.7109375" style="2" customWidth="1"/>
    <col min="9221" max="9221" width="50.5703125" style="2" customWidth="1"/>
    <col min="9222" max="9223" width="19.28515625" style="2" customWidth="1"/>
    <col min="9224" max="9224" width="18.5703125" style="2" customWidth="1"/>
    <col min="9225" max="9225" width="0.7109375" style="2" customWidth="1"/>
    <col min="9226" max="9226" width="24" style="2" bestFit="1" customWidth="1"/>
    <col min="9227" max="9227" width="18.7109375" style="2" bestFit="1" customWidth="1"/>
    <col min="9228" max="9228" width="19.42578125" style="2" bestFit="1" customWidth="1"/>
    <col min="9229" max="9229" width="0.5703125" style="2" customWidth="1"/>
    <col min="9230" max="9231" width="18.7109375" style="2" bestFit="1" customWidth="1"/>
    <col min="9232" max="9232" width="16.5703125" style="2" customWidth="1"/>
    <col min="9233" max="9233" width="0.7109375" style="2" customWidth="1"/>
    <col min="9234" max="9235" width="19.85546875" style="2" bestFit="1" customWidth="1"/>
    <col min="9236" max="9236" width="18.7109375" style="2" bestFit="1" customWidth="1"/>
    <col min="9237" max="9237" width="14.5703125" style="2" customWidth="1"/>
    <col min="9238" max="9238" width="9.140625" style="2"/>
    <col min="9239" max="9239" width="13.140625" style="2" bestFit="1" customWidth="1"/>
    <col min="9240" max="9472" width="9.140625" style="2"/>
    <col min="9473" max="9476" width="2.7109375" style="2" customWidth="1"/>
    <col min="9477" max="9477" width="50.5703125" style="2" customWidth="1"/>
    <col min="9478" max="9479" width="19.28515625" style="2" customWidth="1"/>
    <col min="9480" max="9480" width="18.5703125" style="2" customWidth="1"/>
    <col min="9481" max="9481" width="0.7109375" style="2" customWidth="1"/>
    <col min="9482" max="9482" width="24" style="2" bestFit="1" customWidth="1"/>
    <col min="9483" max="9483" width="18.7109375" style="2" bestFit="1" customWidth="1"/>
    <col min="9484" max="9484" width="19.42578125" style="2" bestFit="1" customWidth="1"/>
    <col min="9485" max="9485" width="0.5703125" style="2" customWidth="1"/>
    <col min="9486" max="9487" width="18.7109375" style="2" bestFit="1" customWidth="1"/>
    <col min="9488" max="9488" width="16.5703125" style="2" customWidth="1"/>
    <col min="9489" max="9489" width="0.7109375" style="2" customWidth="1"/>
    <col min="9490" max="9491" width="19.85546875" style="2" bestFit="1" customWidth="1"/>
    <col min="9492" max="9492" width="18.7109375" style="2" bestFit="1" customWidth="1"/>
    <col min="9493" max="9493" width="14.5703125" style="2" customWidth="1"/>
    <col min="9494" max="9494" width="9.140625" style="2"/>
    <col min="9495" max="9495" width="13.140625" style="2" bestFit="1" customWidth="1"/>
    <col min="9496" max="9728" width="9.140625" style="2"/>
    <col min="9729" max="9732" width="2.7109375" style="2" customWidth="1"/>
    <col min="9733" max="9733" width="50.5703125" style="2" customWidth="1"/>
    <col min="9734" max="9735" width="19.28515625" style="2" customWidth="1"/>
    <col min="9736" max="9736" width="18.5703125" style="2" customWidth="1"/>
    <col min="9737" max="9737" width="0.7109375" style="2" customWidth="1"/>
    <col min="9738" max="9738" width="24" style="2" bestFit="1" customWidth="1"/>
    <col min="9739" max="9739" width="18.7109375" style="2" bestFit="1" customWidth="1"/>
    <col min="9740" max="9740" width="19.42578125" style="2" bestFit="1" customWidth="1"/>
    <col min="9741" max="9741" width="0.5703125" style="2" customWidth="1"/>
    <col min="9742" max="9743" width="18.7109375" style="2" bestFit="1" customWidth="1"/>
    <col min="9744" max="9744" width="16.5703125" style="2" customWidth="1"/>
    <col min="9745" max="9745" width="0.7109375" style="2" customWidth="1"/>
    <col min="9746" max="9747" width="19.85546875" style="2" bestFit="1" customWidth="1"/>
    <col min="9748" max="9748" width="18.7109375" style="2" bestFit="1" customWidth="1"/>
    <col min="9749" max="9749" width="14.5703125" style="2" customWidth="1"/>
    <col min="9750" max="9750" width="9.140625" style="2"/>
    <col min="9751" max="9751" width="13.140625" style="2" bestFit="1" customWidth="1"/>
    <col min="9752" max="9984" width="9.140625" style="2"/>
    <col min="9985" max="9988" width="2.7109375" style="2" customWidth="1"/>
    <col min="9989" max="9989" width="50.5703125" style="2" customWidth="1"/>
    <col min="9990" max="9991" width="19.28515625" style="2" customWidth="1"/>
    <col min="9992" max="9992" width="18.5703125" style="2" customWidth="1"/>
    <col min="9993" max="9993" width="0.7109375" style="2" customWidth="1"/>
    <col min="9994" max="9994" width="24" style="2" bestFit="1" customWidth="1"/>
    <col min="9995" max="9995" width="18.7109375" style="2" bestFit="1" customWidth="1"/>
    <col min="9996" max="9996" width="19.42578125" style="2" bestFit="1" customWidth="1"/>
    <col min="9997" max="9997" width="0.5703125" style="2" customWidth="1"/>
    <col min="9998" max="9999" width="18.7109375" style="2" bestFit="1" customWidth="1"/>
    <col min="10000" max="10000" width="16.5703125" style="2" customWidth="1"/>
    <col min="10001" max="10001" width="0.7109375" style="2" customWidth="1"/>
    <col min="10002" max="10003" width="19.85546875" style="2" bestFit="1" customWidth="1"/>
    <col min="10004" max="10004" width="18.7109375" style="2" bestFit="1" customWidth="1"/>
    <col min="10005" max="10005" width="14.5703125" style="2" customWidth="1"/>
    <col min="10006" max="10006" width="9.140625" style="2"/>
    <col min="10007" max="10007" width="13.140625" style="2" bestFit="1" customWidth="1"/>
    <col min="10008" max="10240" width="9.140625" style="2"/>
    <col min="10241" max="10244" width="2.7109375" style="2" customWidth="1"/>
    <col min="10245" max="10245" width="50.5703125" style="2" customWidth="1"/>
    <col min="10246" max="10247" width="19.28515625" style="2" customWidth="1"/>
    <col min="10248" max="10248" width="18.5703125" style="2" customWidth="1"/>
    <col min="10249" max="10249" width="0.7109375" style="2" customWidth="1"/>
    <col min="10250" max="10250" width="24" style="2" bestFit="1" customWidth="1"/>
    <col min="10251" max="10251" width="18.7109375" style="2" bestFit="1" customWidth="1"/>
    <col min="10252" max="10252" width="19.42578125" style="2" bestFit="1" customWidth="1"/>
    <col min="10253" max="10253" width="0.5703125" style="2" customWidth="1"/>
    <col min="10254" max="10255" width="18.7109375" style="2" bestFit="1" customWidth="1"/>
    <col min="10256" max="10256" width="16.5703125" style="2" customWidth="1"/>
    <col min="10257" max="10257" width="0.7109375" style="2" customWidth="1"/>
    <col min="10258" max="10259" width="19.85546875" style="2" bestFit="1" customWidth="1"/>
    <col min="10260" max="10260" width="18.7109375" style="2" bestFit="1" customWidth="1"/>
    <col min="10261" max="10261" width="14.5703125" style="2" customWidth="1"/>
    <col min="10262" max="10262" width="9.140625" style="2"/>
    <col min="10263" max="10263" width="13.140625" style="2" bestFit="1" customWidth="1"/>
    <col min="10264" max="10496" width="9.140625" style="2"/>
    <col min="10497" max="10500" width="2.7109375" style="2" customWidth="1"/>
    <col min="10501" max="10501" width="50.5703125" style="2" customWidth="1"/>
    <col min="10502" max="10503" width="19.28515625" style="2" customWidth="1"/>
    <col min="10504" max="10504" width="18.5703125" style="2" customWidth="1"/>
    <col min="10505" max="10505" width="0.7109375" style="2" customWidth="1"/>
    <col min="10506" max="10506" width="24" style="2" bestFit="1" customWidth="1"/>
    <col min="10507" max="10507" width="18.7109375" style="2" bestFit="1" customWidth="1"/>
    <col min="10508" max="10508" width="19.42578125" style="2" bestFit="1" customWidth="1"/>
    <col min="10509" max="10509" width="0.5703125" style="2" customWidth="1"/>
    <col min="10510" max="10511" width="18.7109375" style="2" bestFit="1" customWidth="1"/>
    <col min="10512" max="10512" width="16.5703125" style="2" customWidth="1"/>
    <col min="10513" max="10513" width="0.7109375" style="2" customWidth="1"/>
    <col min="10514" max="10515" width="19.85546875" style="2" bestFit="1" customWidth="1"/>
    <col min="10516" max="10516" width="18.7109375" style="2" bestFit="1" customWidth="1"/>
    <col min="10517" max="10517" width="14.5703125" style="2" customWidth="1"/>
    <col min="10518" max="10518" width="9.140625" style="2"/>
    <col min="10519" max="10519" width="13.140625" style="2" bestFit="1" customWidth="1"/>
    <col min="10520" max="10752" width="9.140625" style="2"/>
    <col min="10753" max="10756" width="2.7109375" style="2" customWidth="1"/>
    <col min="10757" max="10757" width="50.5703125" style="2" customWidth="1"/>
    <col min="10758" max="10759" width="19.28515625" style="2" customWidth="1"/>
    <col min="10760" max="10760" width="18.5703125" style="2" customWidth="1"/>
    <col min="10761" max="10761" width="0.7109375" style="2" customWidth="1"/>
    <col min="10762" max="10762" width="24" style="2" bestFit="1" customWidth="1"/>
    <col min="10763" max="10763" width="18.7109375" style="2" bestFit="1" customWidth="1"/>
    <col min="10764" max="10764" width="19.42578125" style="2" bestFit="1" customWidth="1"/>
    <col min="10765" max="10765" width="0.5703125" style="2" customWidth="1"/>
    <col min="10766" max="10767" width="18.7109375" style="2" bestFit="1" customWidth="1"/>
    <col min="10768" max="10768" width="16.5703125" style="2" customWidth="1"/>
    <col min="10769" max="10769" width="0.7109375" style="2" customWidth="1"/>
    <col min="10770" max="10771" width="19.85546875" style="2" bestFit="1" customWidth="1"/>
    <col min="10772" max="10772" width="18.7109375" style="2" bestFit="1" customWidth="1"/>
    <col min="10773" max="10773" width="14.5703125" style="2" customWidth="1"/>
    <col min="10774" max="10774" width="9.140625" style="2"/>
    <col min="10775" max="10775" width="13.140625" style="2" bestFit="1" customWidth="1"/>
    <col min="10776" max="11008" width="9.140625" style="2"/>
    <col min="11009" max="11012" width="2.7109375" style="2" customWidth="1"/>
    <col min="11013" max="11013" width="50.5703125" style="2" customWidth="1"/>
    <col min="11014" max="11015" width="19.28515625" style="2" customWidth="1"/>
    <col min="11016" max="11016" width="18.5703125" style="2" customWidth="1"/>
    <col min="11017" max="11017" width="0.7109375" style="2" customWidth="1"/>
    <col min="11018" max="11018" width="24" style="2" bestFit="1" customWidth="1"/>
    <col min="11019" max="11019" width="18.7109375" style="2" bestFit="1" customWidth="1"/>
    <col min="11020" max="11020" width="19.42578125" style="2" bestFit="1" customWidth="1"/>
    <col min="11021" max="11021" width="0.5703125" style="2" customWidth="1"/>
    <col min="11022" max="11023" width="18.7109375" style="2" bestFit="1" customWidth="1"/>
    <col min="11024" max="11024" width="16.5703125" style="2" customWidth="1"/>
    <col min="11025" max="11025" width="0.7109375" style="2" customWidth="1"/>
    <col min="11026" max="11027" width="19.85546875" style="2" bestFit="1" customWidth="1"/>
    <col min="11028" max="11028" width="18.7109375" style="2" bestFit="1" customWidth="1"/>
    <col min="11029" max="11029" width="14.5703125" style="2" customWidth="1"/>
    <col min="11030" max="11030" width="9.140625" style="2"/>
    <col min="11031" max="11031" width="13.140625" style="2" bestFit="1" customWidth="1"/>
    <col min="11032" max="11264" width="9.140625" style="2"/>
    <col min="11265" max="11268" width="2.7109375" style="2" customWidth="1"/>
    <col min="11269" max="11269" width="50.5703125" style="2" customWidth="1"/>
    <col min="11270" max="11271" width="19.28515625" style="2" customWidth="1"/>
    <col min="11272" max="11272" width="18.5703125" style="2" customWidth="1"/>
    <col min="11273" max="11273" width="0.7109375" style="2" customWidth="1"/>
    <col min="11274" max="11274" width="24" style="2" bestFit="1" customWidth="1"/>
    <col min="11275" max="11275" width="18.7109375" style="2" bestFit="1" customWidth="1"/>
    <col min="11276" max="11276" width="19.42578125" style="2" bestFit="1" customWidth="1"/>
    <col min="11277" max="11277" width="0.5703125" style="2" customWidth="1"/>
    <col min="11278" max="11279" width="18.7109375" style="2" bestFit="1" customWidth="1"/>
    <col min="11280" max="11280" width="16.5703125" style="2" customWidth="1"/>
    <col min="11281" max="11281" width="0.7109375" style="2" customWidth="1"/>
    <col min="11282" max="11283" width="19.85546875" style="2" bestFit="1" customWidth="1"/>
    <col min="11284" max="11284" width="18.7109375" style="2" bestFit="1" customWidth="1"/>
    <col min="11285" max="11285" width="14.5703125" style="2" customWidth="1"/>
    <col min="11286" max="11286" width="9.140625" style="2"/>
    <col min="11287" max="11287" width="13.140625" style="2" bestFit="1" customWidth="1"/>
    <col min="11288" max="11520" width="9.140625" style="2"/>
    <col min="11521" max="11524" width="2.7109375" style="2" customWidth="1"/>
    <col min="11525" max="11525" width="50.5703125" style="2" customWidth="1"/>
    <col min="11526" max="11527" width="19.28515625" style="2" customWidth="1"/>
    <col min="11528" max="11528" width="18.5703125" style="2" customWidth="1"/>
    <col min="11529" max="11529" width="0.7109375" style="2" customWidth="1"/>
    <col min="11530" max="11530" width="24" style="2" bestFit="1" customWidth="1"/>
    <col min="11531" max="11531" width="18.7109375" style="2" bestFit="1" customWidth="1"/>
    <col min="11532" max="11532" width="19.42578125" style="2" bestFit="1" customWidth="1"/>
    <col min="11533" max="11533" width="0.5703125" style="2" customWidth="1"/>
    <col min="11534" max="11535" width="18.7109375" style="2" bestFit="1" customWidth="1"/>
    <col min="11536" max="11536" width="16.5703125" style="2" customWidth="1"/>
    <col min="11537" max="11537" width="0.7109375" style="2" customWidth="1"/>
    <col min="11538" max="11539" width="19.85546875" style="2" bestFit="1" customWidth="1"/>
    <col min="11540" max="11540" width="18.7109375" style="2" bestFit="1" customWidth="1"/>
    <col min="11541" max="11541" width="14.5703125" style="2" customWidth="1"/>
    <col min="11542" max="11542" width="9.140625" style="2"/>
    <col min="11543" max="11543" width="13.140625" style="2" bestFit="1" customWidth="1"/>
    <col min="11544" max="11776" width="9.140625" style="2"/>
    <col min="11777" max="11780" width="2.7109375" style="2" customWidth="1"/>
    <col min="11781" max="11781" width="50.5703125" style="2" customWidth="1"/>
    <col min="11782" max="11783" width="19.28515625" style="2" customWidth="1"/>
    <col min="11784" max="11784" width="18.5703125" style="2" customWidth="1"/>
    <col min="11785" max="11785" width="0.7109375" style="2" customWidth="1"/>
    <col min="11786" max="11786" width="24" style="2" bestFit="1" customWidth="1"/>
    <col min="11787" max="11787" width="18.7109375" style="2" bestFit="1" customWidth="1"/>
    <col min="11788" max="11788" width="19.42578125" style="2" bestFit="1" customWidth="1"/>
    <col min="11789" max="11789" width="0.5703125" style="2" customWidth="1"/>
    <col min="11790" max="11791" width="18.7109375" style="2" bestFit="1" customWidth="1"/>
    <col min="11792" max="11792" width="16.5703125" style="2" customWidth="1"/>
    <col min="11793" max="11793" width="0.7109375" style="2" customWidth="1"/>
    <col min="11794" max="11795" width="19.85546875" style="2" bestFit="1" customWidth="1"/>
    <col min="11796" max="11796" width="18.7109375" style="2" bestFit="1" customWidth="1"/>
    <col min="11797" max="11797" width="14.5703125" style="2" customWidth="1"/>
    <col min="11798" max="11798" width="9.140625" style="2"/>
    <col min="11799" max="11799" width="13.140625" style="2" bestFit="1" customWidth="1"/>
    <col min="11800" max="12032" width="9.140625" style="2"/>
    <col min="12033" max="12036" width="2.7109375" style="2" customWidth="1"/>
    <col min="12037" max="12037" width="50.5703125" style="2" customWidth="1"/>
    <col min="12038" max="12039" width="19.28515625" style="2" customWidth="1"/>
    <col min="12040" max="12040" width="18.5703125" style="2" customWidth="1"/>
    <col min="12041" max="12041" width="0.7109375" style="2" customWidth="1"/>
    <col min="12042" max="12042" width="24" style="2" bestFit="1" customWidth="1"/>
    <col min="12043" max="12043" width="18.7109375" style="2" bestFit="1" customWidth="1"/>
    <col min="12044" max="12044" width="19.42578125" style="2" bestFit="1" customWidth="1"/>
    <col min="12045" max="12045" width="0.5703125" style="2" customWidth="1"/>
    <col min="12046" max="12047" width="18.7109375" style="2" bestFit="1" customWidth="1"/>
    <col min="12048" max="12048" width="16.5703125" style="2" customWidth="1"/>
    <col min="12049" max="12049" width="0.7109375" style="2" customWidth="1"/>
    <col min="12050" max="12051" width="19.85546875" style="2" bestFit="1" customWidth="1"/>
    <col min="12052" max="12052" width="18.7109375" style="2" bestFit="1" customWidth="1"/>
    <col min="12053" max="12053" width="14.5703125" style="2" customWidth="1"/>
    <col min="12054" max="12054" width="9.140625" style="2"/>
    <col min="12055" max="12055" width="13.140625" style="2" bestFit="1" customWidth="1"/>
    <col min="12056" max="12288" width="9.140625" style="2"/>
    <col min="12289" max="12292" width="2.7109375" style="2" customWidth="1"/>
    <col min="12293" max="12293" width="50.5703125" style="2" customWidth="1"/>
    <col min="12294" max="12295" width="19.28515625" style="2" customWidth="1"/>
    <col min="12296" max="12296" width="18.5703125" style="2" customWidth="1"/>
    <col min="12297" max="12297" width="0.7109375" style="2" customWidth="1"/>
    <col min="12298" max="12298" width="24" style="2" bestFit="1" customWidth="1"/>
    <col min="12299" max="12299" width="18.7109375" style="2" bestFit="1" customWidth="1"/>
    <col min="12300" max="12300" width="19.42578125" style="2" bestFit="1" customWidth="1"/>
    <col min="12301" max="12301" width="0.5703125" style="2" customWidth="1"/>
    <col min="12302" max="12303" width="18.7109375" style="2" bestFit="1" customWidth="1"/>
    <col min="12304" max="12304" width="16.5703125" style="2" customWidth="1"/>
    <col min="12305" max="12305" width="0.7109375" style="2" customWidth="1"/>
    <col min="12306" max="12307" width="19.85546875" style="2" bestFit="1" customWidth="1"/>
    <col min="12308" max="12308" width="18.7109375" style="2" bestFit="1" customWidth="1"/>
    <col min="12309" max="12309" width="14.5703125" style="2" customWidth="1"/>
    <col min="12310" max="12310" width="9.140625" style="2"/>
    <col min="12311" max="12311" width="13.140625" style="2" bestFit="1" customWidth="1"/>
    <col min="12312" max="12544" width="9.140625" style="2"/>
    <col min="12545" max="12548" width="2.7109375" style="2" customWidth="1"/>
    <col min="12549" max="12549" width="50.5703125" style="2" customWidth="1"/>
    <col min="12550" max="12551" width="19.28515625" style="2" customWidth="1"/>
    <col min="12552" max="12552" width="18.5703125" style="2" customWidth="1"/>
    <col min="12553" max="12553" width="0.7109375" style="2" customWidth="1"/>
    <col min="12554" max="12554" width="24" style="2" bestFit="1" customWidth="1"/>
    <col min="12555" max="12555" width="18.7109375" style="2" bestFit="1" customWidth="1"/>
    <col min="12556" max="12556" width="19.42578125" style="2" bestFit="1" customWidth="1"/>
    <col min="12557" max="12557" width="0.5703125" style="2" customWidth="1"/>
    <col min="12558" max="12559" width="18.7109375" style="2" bestFit="1" customWidth="1"/>
    <col min="12560" max="12560" width="16.5703125" style="2" customWidth="1"/>
    <col min="12561" max="12561" width="0.7109375" style="2" customWidth="1"/>
    <col min="12562" max="12563" width="19.85546875" style="2" bestFit="1" customWidth="1"/>
    <col min="12564" max="12564" width="18.7109375" style="2" bestFit="1" customWidth="1"/>
    <col min="12565" max="12565" width="14.5703125" style="2" customWidth="1"/>
    <col min="12566" max="12566" width="9.140625" style="2"/>
    <col min="12567" max="12567" width="13.140625" style="2" bestFit="1" customWidth="1"/>
    <col min="12568" max="12800" width="9.140625" style="2"/>
    <col min="12801" max="12804" width="2.7109375" style="2" customWidth="1"/>
    <col min="12805" max="12805" width="50.5703125" style="2" customWidth="1"/>
    <col min="12806" max="12807" width="19.28515625" style="2" customWidth="1"/>
    <col min="12808" max="12808" width="18.5703125" style="2" customWidth="1"/>
    <col min="12809" max="12809" width="0.7109375" style="2" customWidth="1"/>
    <col min="12810" max="12810" width="24" style="2" bestFit="1" customWidth="1"/>
    <col min="12811" max="12811" width="18.7109375" style="2" bestFit="1" customWidth="1"/>
    <col min="12812" max="12812" width="19.42578125" style="2" bestFit="1" customWidth="1"/>
    <col min="12813" max="12813" width="0.5703125" style="2" customWidth="1"/>
    <col min="12814" max="12815" width="18.7109375" style="2" bestFit="1" customWidth="1"/>
    <col min="12816" max="12816" width="16.5703125" style="2" customWidth="1"/>
    <col min="12817" max="12817" width="0.7109375" style="2" customWidth="1"/>
    <col min="12818" max="12819" width="19.85546875" style="2" bestFit="1" customWidth="1"/>
    <col min="12820" max="12820" width="18.7109375" style="2" bestFit="1" customWidth="1"/>
    <col min="12821" max="12821" width="14.5703125" style="2" customWidth="1"/>
    <col min="12822" max="12822" width="9.140625" style="2"/>
    <col min="12823" max="12823" width="13.140625" style="2" bestFit="1" customWidth="1"/>
    <col min="12824" max="13056" width="9.140625" style="2"/>
    <col min="13057" max="13060" width="2.7109375" style="2" customWidth="1"/>
    <col min="13061" max="13061" width="50.5703125" style="2" customWidth="1"/>
    <col min="13062" max="13063" width="19.28515625" style="2" customWidth="1"/>
    <col min="13064" max="13064" width="18.5703125" style="2" customWidth="1"/>
    <col min="13065" max="13065" width="0.7109375" style="2" customWidth="1"/>
    <col min="13066" max="13066" width="24" style="2" bestFit="1" customWidth="1"/>
    <col min="13067" max="13067" width="18.7109375" style="2" bestFit="1" customWidth="1"/>
    <col min="13068" max="13068" width="19.42578125" style="2" bestFit="1" customWidth="1"/>
    <col min="13069" max="13069" width="0.5703125" style="2" customWidth="1"/>
    <col min="13070" max="13071" width="18.7109375" style="2" bestFit="1" customWidth="1"/>
    <col min="13072" max="13072" width="16.5703125" style="2" customWidth="1"/>
    <col min="13073" max="13073" width="0.7109375" style="2" customWidth="1"/>
    <col min="13074" max="13075" width="19.85546875" style="2" bestFit="1" customWidth="1"/>
    <col min="13076" max="13076" width="18.7109375" style="2" bestFit="1" customWidth="1"/>
    <col min="13077" max="13077" width="14.5703125" style="2" customWidth="1"/>
    <col min="13078" max="13078" width="9.140625" style="2"/>
    <col min="13079" max="13079" width="13.140625" style="2" bestFit="1" customWidth="1"/>
    <col min="13080" max="13312" width="9.140625" style="2"/>
    <col min="13313" max="13316" width="2.7109375" style="2" customWidth="1"/>
    <col min="13317" max="13317" width="50.5703125" style="2" customWidth="1"/>
    <col min="13318" max="13319" width="19.28515625" style="2" customWidth="1"/>
    <col min="13320" max="13320" width="18.5703125" style="2" customWidth="1"/>
    <col min="13321" max="13321" width="0.7109375" style="2" customWidth="1"/>
    <col min="13322" max="13322" width="24" style="2" bestFit="1" customWidth="1"/>
    <col min="13323" max="13323" width="18.7109375" style="2" bestFit="1" customWidth="1"/>
    <col min="13324" max="13324" width="19.42578125" style="2" bestFit="1" customWidth="1"/>
    <col min="13325" max="13325" width="0.5703125" style="2" customWidth="1"/>
    <col min="13326" max="13327" width="18.7109375" style="2" bestFit="1" customWidth="1"/>
    <col min="13328" max="13328" width="16.5703125" style="2" customWidth="1"/>
    <col min="13329" max="13329" width="0.7109375" style="2" customWidth="1"/>
    <col min="13330" max="13331" width="19.85546875" style="2" bestFit="1" customWidth="1"/>
    <col min="13332" max="13332" width="18.7109375" style="2" bestFit="1" customWidth="1"/>
    <col min="13333" max="13333" width="14.5703125" style="2" customWidth="1"/>
    <col min="13334" max="13334" width="9.140625" style="2"/>
    <col min="13335" max="13335" width="13.140625" style="2" bestFit="1" customWidth="1"/>
    <col min="13336" max="13568" width="9.140625" style="2"/>
    <col min="13569" max="13572" width="2.7109375" style="2" customWidth="1"/>
    <col min="13573" max="13573" width="50.5703125" style="2" customWidth="1"/>
    <col min="13574" max="13575" width="19.28515625" style="2" customWidth="1"/>
    <col min="13576" max="13576" width="18.5703125" style="2" customWidth="1"/>
    <col min="13577" max="13577" width="0.7109375" style="2" customWidth="1"/>
    <col min="13578" max="13578" width="24" style="2" bestFit="1" customWidth="1"/>
    <col min="13579" max="13579" width="18.7109375" style="2" bestFit="1" customWidth="1"/>
    <col min="13580" max="13580" width="19.42578125" style="2" bestFit="1" customWidth="1"/>
    <col min="13581" max="13581" width="0.5703125" style="2" customWidth="1"/>
    <col min="13582" max="13583" width="18.7109375" style="2" bestFit="1" customWidth="1"/>
    <col min="13584" max="13584" width="16.5703125" style="2" customWidth="1"/>
    <col min="13585" max="13585" width="0.7109375" style="2" customWidth="1"/>
    <col min="13586" max="13587" width="19.85546875" style="2" bestFit="1" customWidth="1"/>
    <col min="13588" max="13588" width="18.7109375" style="2" bestFit="1" customWidth="1"/>
    <col min="13589" max="13589" width="14.5703125" style="2" customWidth="1"/>
    <col min="13590" max="13590" width="9.140625" style="2"/>
    <col min="13591" max="13591" width="13.140625" style="2" bestFit="1" customWidth="1"/>
    <col min="13592" max="13824" width="9.140625" style="2"/>
    <col min="13825" max="13828" width="2.7109375" style="2" customWidth="1"/>
    <col min="13829" max="13829" width="50.5703125" style="2" customWidth="1"/>
    <col min="13830" max="13831" width="19.28515625" style="2" customWidth="1"/>
    <col min="13832" max="13832" width="18.5703125" style="2" customWidth="1"/>
    <col min="13833" max="13833" width="0.7109375" style="2" customWidth="1"/>
    <col min="13834" max="13834" width="24" style="2" bestFit="1" customWidth="1"/>
    <col min="13835" max="13835" width="18.7109375" style="2" bestFit="1" customWidth="1"/>
    <col min="13836" max="13836" width="19.42578125" style="2" bestFit="1" customWidth="1"/>
    <col min="13837" max="13837" width="0.5703125" style="2" customWidth="1"/>
    <col min="13838" max="13839" width="18.7109375" style="2" bestFit="1" customWidth="1"/>
    <col min="13840" max="13840" width="16.5703125" style="2" customWidth="1"/>
    <col min="13841" max="13841" width="0.7109375" style="2" customWidth="1"/>
    <col min="13842" max="13843" width="19.85546875" style="2" bestFit="1" customWidth="1"/>
    <col min="13844" max="13844" width="18.7109375" style="2" bestFit="1" customWidth="1"/>
    <col min="13845" max="13845" width="14.5703125" style="2" customWidth="1"/>
    <col min="13846" max="13846" width="9.140625" style="2"/>
    <col min="13847" max="13847" width="13.140625" style="2" bestFit="1" customWidth="1"/>
    <col min="13848" max="14080" width="9.140625" style="2"/>
    <col min="14081" max="14084" width="2.7109375" style="2" customWidth="1"/>
    <col min="14085" max="14085" width="50.5703125" style="2" customWidth="1"/>
    <col min="14086" max="14087" width="19.28515625" style="2" customWidth="1"/>
    <col min="14088" max="14088" width="18.5703125" style="2" customWidth="1"/>
    <col min="14089" max="14089" width="0.7109375" style="2" customWidth="1"/>
    <col min="14090" max="14090" width="24" style="2" bestFit="1" customWidth="1"/>
    <col min="14091" max="14091" width="18.7109375" style="2" bestFit="1" customWidth="1"/>
    <col min="14092" max="14092" width="19.42578125" style="2" bestFit="1" customWidth="1"/>
    <col min="14093" max="14093" width="0.5703125" style="2" customWidth="1"/>
    <col min="14094" max="14095" width="18.7109375" style="2" bestFit="1" customWidth="1"/>
    <col min="14096" max="14096" width="16.5703125" style="2" customWidth="1"/>
    <col min="14097" max="14097" width="0.7109375" style="2" customWidth="1"/>
    <col min="14098" max="14099" width="19.85546875" style="2" bestFit="1" customWidth="1"/>
    <col min="14100" max="14100" width="18.7109375" style="2" bestFit="1" customWidth="1"/>
    <col min="14101" max="14101" width="14.5703125" style="2" customWidth="1"/>
    <col min="14102" max="14102" width="9.140625" style="2"/>
    <col min="14103" max="14103" width="13.140625" style="2" bestFit="1" customWidth="1"/>
    <col min="14104" max="14336" width="9.140625" style="2"/>
    <col min="14337" max="14340" width="2.7109375" style="2" customWidth="1"/>
    <col min="14341" max="14341" width="50.5703125" style="2" customWidth="1"/>
    <col min="14342" max="14343" width="19.28515625" style="2" customWidth="1"/>
    <col min="14344" max="14344" width="18.5703125" style="2" customWidth="1"/>
    <col min="14345" max="14345" width="0.7109375" style="2" customWidth="1"/>
    <col min="14346" max="14346" width="24" style="2" bestFit="1" customWidth="1"/>
    <col min="14347" max="14347" width="18.7109375" style="2" bestFit="1" customWidth="1"/>
    <col min="14348" max="14348" width="19.42578125" style="2" bestFit="1" customWidth="1"/>
    <col min="14349" max="14349" width="0.5703125" style="2" customWidth="1"/>
    <col min="14350" max="14351" width="18.7109375" style="2" bestFit="1" customWidth="1"/>
    <col min="14352" max="14352" width="16.5703125" style="2" customWidth="1"/>
    <col min="14353" max="14353" width="0.7109375" style="2" customWidth="1"/>
    <col min="14354" max="14355" width="19.85546875" style="2" bestFit="1" customWidth="1"/>
    <col min="14356" max="14356" width="18.7109375" style="2" bestFit="1" customWidth="1"/>
    <col min="14357" max="14357" width="14.5703125" style="2" customWidth="1"/>
    <col min="14358" max="14358" width="9.140625" style="2"/>
    <col min="14359" max="14359" width="13.140625" style="2" bestFit="1" customWidth="1"/>
    <col min="14360" max="14592" width="9.140625" style="2"/>
    <col min="14593" max="14596" width="2.7109375" style="2" customWidth="1"/>
    <col min="14597" max="14597" width="50.5703125" style="2" customWidth="1"/>
    <col min="14598" max="14599" width="19.28515625" style="2" customWidth="1"/>
    <col min="14600" max="14600" width="18.5703125" style="2" customWidth="1"/>
    <col min="14601" max="14601" width="0.7109375" style="2" customWidth="1"/>
    <col min="14602" max="14602" width="24" style="2" bestFit="1" customWidth="1"/>
    <col min="14603" max="14603" width="18.7109375" style="2" bestFit="1" customWidth="1"/>
    <col min="14604" max="14604" width="19.42578125" style="2" bestFit="1" customWidth="1"/>
    <col min="14605" max="14605" width="0.5703125" style="2" customWidth="1"/>
    <col min="14606" max="14607" width="18.7109375" style="2" bestFit="1" customWidth="1"/>
    <col min="14608" max="14608" width="16.5703125" style="2" customWidth="1"/>
    <col min="14609" max="14609" width="0.7109375" style="2" customWidth="1"/>
    <col min="14610" max="14611" width="19.85546875" style="2" bestFit="1" customWidth="1"/>
    <col min="14612" max="14612" width="18.7109375" style="2" bestFit="1" customWidth="1"/>
    <col min="14613" max="14613" width="14.5703125" style="2" customWidth="1"/>
    <col min="14614" max="14614" width="9.140625" style="2"/>
    <col min="14615" max="14615" width="13.140625" style="2" bestFit="1" customWidth="1"/>
    <col min="14616" max="14848" width="9.140625" style="2"/>
    <col min="14849" max="14852" width="2.7109375" style="2" customWidth="1"/>
    <col min="14853" max="14853" width="50.5703125" style="2" customWidth="1"/>
    <col min="14854" max="14855" width="19.28515625" style="2" customWidth="1"/>
    <col min="14856" max="14856" width="18.5703125" style="2" customWidth="1"/>
    <col min="14857" max="14857" width="0.7109375" style="2" customWidth="1"/>
    <col min="14858" max="14858" width="24" style="2" bestFit="1" customWidth="1"/>
    <col min="14859" max="14859" width="18.7109375" style="2" bestFit="1" customWidth="1"/>
    <col min="14860" max="14860" width="19.42578125" style="2" bestFit="1" customWidth="1"/>
    <col min="14861" max="14861" width="0.5703125" style="2" customWidth="1"/>
    <col min="14862" max="14863" width="18.7109375" style="2" bestFit="1" customWidth="1"/>
    <col min="14864" max="14864" width="16.5703125" style="2" customWidth="1"/>
    <col min="14865" max="14865" width="0.7109375" style="2" customWidth="1"/>
    <col min="14866" max="14867" width="19.85546875" style="2" bestFit="1" customWidth="1"/>
    <col min="14868" max="14868" width="18.7109375" style="2" bestFit="1" customWidth="1"/>
    <col min="14869" max="14869" width="14.5703125" style="2" customWidth="1"/>
    <col min="14870" max="14870" width="9.140625" style="2"/>
    <col min="14871" max="14871" width="13.140625" style="2" bestFit="1" customWidth="1"/>
    <col min="14872" max="15104" width="9.140625" style="2"/>
    <col min="15105" max="15108" width="2.7109375" style="2" customWidth="1"/>
    <col min="15109" max="15109" width="50.5703125" style="2" customWidth="1"/>
    <col min="15110" max="15111" width="19.28515625" style="2" customWidth="1"/>
    <col min="15112" max="15112" width="18.5703125" style="2" customWidth="1"/>
    <col min="15113" max="15113" width="0.7109375" style="2" customWidth="1"/>
    <col min="15114" max="15114" width="24" style="2" bestFit="1" customWidth="1"/>
    <col min="15115" max="15115" width="18.7109375" style="2" bestFit="1" customWidth="1"/>
    <col min="15116" max="15116" width="19.42578125" style="2" bestFit="1" customWidth="1"/>
    <col min="15117" max="15117" width="0.5703125" style="2" customWidth="1"/>
    <col min="15118" max="15119" width="18.7109375" style="2" bestFit="1" customWidth="1"/>
    <col min="15120" max="15120" width="16.5703125" style="2" customWidth="1"/>
    <col min="15121" max="15121" width="0.7109375" style="2" customWidth="1"/>
    <col min="15122" max="15123" width="19.85546875" style="2" bestFit="1" customWidth="1"/>
    <col min="15124" max="15124" width="18.7109375" style="2" bestFit="1" customWidth="1"/>
    <col min="15125" max="15125" width="14.5703125" style="2" customWidth="1"/>
    <col min="15126" max="15126" width="9.140625" style="2"/>
    <col min="15127" max="15127" width="13.140625" style="2" bestFit="1" customWidth="1"/>
    <col min="15128" max="15360" width="9.140625" style="2"/>
    <col min="15361" max="15364" width="2.7109375" style="2" customWidth="1"/>
    <col min="15365" max="15365" width="50.5703125" style="2" customWidth="1"/>
    <col min="15366" max="15367" width="19.28515625" style="2" customWidth="1"/>
    <col min="15368" max="15368" width="18.5703125" style="2" customWidth="1"/>
    <col min="15369" max="15369" width="0.7109375" style="2" customWidth="1"/>
    <col min="15370" max="15370" width="24" style="2" bestFit="1" customWidth="1"/>
    <col min="15371" max="15371" width="18.7109375" style="2" bestFit="1" customWidth="1"/>
    <col min="15372" max="15372" width="19.42578125" style="2" bestFit="1" customWidth="1"/>
    <col min="15373" max="15373" width="0.5703125" style="2" customWidth="1"/>
    <col min="15374" max="15375" width="18.7109375" style="2" bestFit="1" customWidth="1"/>
    <col min="15376" max="15376" width="16.5703125" style="2" customWidth="1"/>
    <col min="15377" max="15377" width="0.7109375" style="2" customWidth="1"/>
    <col min="15378" max="15379" width="19.85546875" style="2" bestFit="1" customWidth="1"/>
    <col min="15380" max="15380" width="18.7109375" style="2" bestFit="1" customWidth="1"/>
    <col min="15381" max="15381" width="14.5703125" style="2" customWidth="1"/>
    <col min="15382" max="15382" width="9.140625" style="2"/>
    <col min="15383" max="15383" width="13.140625" style="2" bestFit="1" customWidth="1"/>
    <col min="15384" max="15616" width="9.140625" style="2"/>
    <col min="15617" max="15620" width="2.7109375" style="2" customWidth="1"/>
    <col min="15621" max="15621" width="50.5703125" style="2" customWidth="1"/>
    <col min="15622" max="15623" width="19.28515625" style="2" customWidth="1"/>
    <col min="15624" max="15624" width="18.5703125" style="2" customWidth="1"/>
    <col min="15625" max="15625" width="0.7109375" style="2" customWidth="1"/>
    <col min="15626" max="15626" width="24" style="2" bestFit="1" customWidth="1"/>
    <col min="15627" max="15627" width="18.7109375" style="2" bestFit="1" customWidth="1"/>
    <col min="15628" max="15628" width="19.42578125" style="2" bestFit="1" customWidth="1"/>
    <col min="15629" max="15629" width="0.5703125" style="2" customWidth="1"/>
    <col min="15630" max="15631" width="18.7109375" style="2" bestFit="1" customWidth="1"/>
    <col min="15632" max="15632" width="16.5703125" style="2" customWidth="1"/>
    <col min="15633" max="15633" width="0.7109375" style="2" customWidth="1"/>
    <col min="15634" max="15635" width="19.85546875" style="2" bestFit="1" customWidth="1"/>
    <col min="15636" max="15636" width="18.7109375" style="2" bestFit="1" customWidth="1"/>
    <col min="15637" max="15637" width="14.5703125" style="2" customWidth="1"/>
    <col min="15638" max="15638" width="9.140625" style="2"/>
    <col min="15639" max="15639" width="13.140625" style="2" bestFit="1" customWidth="1"/>
    <col min="15640" max="15872" width="9.140625" style="2"/>
    <col min="15873" max="15876" width="2.7109375" style="2" customWidth="1"/>
    <col min="15877" max="15877" width="50.5703125" style="2" customWidth="1"/>
    <col min="15878" max="15879" width="19.28515625" style="2" customWidth="1"/>
    <col min="15880" max="15880" width="18.5703125" style="2" customWidth="1"/>
    <col min="15881" max="15881" width="0.7109375" style="2" customWidth="1"/>
    <col min="15882" max="15882" width="24" style="2" bestFit="1" customWidth="1"/>
    <col min="15883" max="15883" width="18.7109375" style="2" bestFit="1" customWidth="1"/>
    <col min="15884" max="15884" width="19.42578125" style="2" bestFit="1" customWidth="1"/>
    <col min="15885" max="15885" width="0.5703125" style="2" customWidth="1"/>
    <col min="15886" max="15887" width="18.7109375" style="2" bestFit="1" customWidth="1"/>
    <col min="15888" max="15888" width="16.5703125" style="2" customWidth="1"/>
    <col min="15889" max="15889" width="0.7109375" style="2" customWidth="1"/>
    <col min="15890" max="15891" width="19.85546875" style="2" bestFit="1" customWidth="1"/>
    <col min="15892" max="15892" width="18.7109375" style="2" bestFit="1" customWidth="1"/>
    <col min="15893" max="15893" width="14.5703125" style="2" customWidth="1"/>
    <col min="15894" max="15894" width="9.140625" style="2"/>
    <col min="15895" max="15895" width="13.140625" style="2" bestFit="1" customWidth="1"/>
    <col min="15896" max="16128" width="9.140625" style="2"/>
    <col min="16129" max="16132" width="2.7109375" style="2" customWidth="1"/>
    <col min="16133" max="16133" width="50.5703125" style="2" customWidth="1"/>
    <col min="16134" max="16135" width="19.28515625" style="2" customWidth="1"/>
    <col min="16136" max="16136" width="18.5703125" style="2" customWidth="1"/>
    <col min="16137" max="16137" width="0.7109375" style="2" customWidth="1"/>
    <col min="16138" max="16138" width="24" style="2" bestFit="1" customWidth="1"/>
    <col min="16139" max="16139" width="18.7109375" style="2" bestFit="1" customWidth="1"/>
    <col min="16140" max="16140" width="19.42578125" style="2" bestFit="1" customWidth="1"/>
    <col min="16141" max="16141" width="0.5703125" style="2" customWidth="1"/>
    <col min="16142" max="16143" width="18.7109375" style="2" bestFit="1" customWidth="1"/>
    <col min="16144" max="16144" width="16.5703125" style="2" customWidth="1"/>
    <col min="16145" max="16145" width="0.7109375" style="2" customWidth="1"/>
    <col min="16146" max="16147" width="19.85546875" style="2" bestFit="1" customWidth="1"/>
    <col min="16148" max="16148" width="18.7109375" style="2" bestFit="1" customWidth="1"/>
    <col min="16149" max="16149" width="14.5703125" style="2" customWidth="1"/>
    <col min="16150" max="16150" width="9.140625" style="2"/>
    <col min="16151" max="16151" width="13.140625" style="2" bestFit="1" customWidth="1"/>
    <col min="16152" max="16384" width="9.140625" style="2"/>
  </cols>
  <sheetData>
    <row r="1" spans="2:21" ht="18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2:21" ht="20.25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21" ht="18">
      <c r="B3" s="131" t="s">
        <v>182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1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2:21" ht="24.95" customHeight="1">
      <c r="B5" s="134" t="s">
        <v>3</v>
      </c>
      <c r="C5" s="135"/>
      <c r="D5" s="135"/>
      <c r="E5" s="136"/>
      <c r="F5" s="140" t="s">
        <v>4</v>
      </c>
      <c r="G5" s="141"/>
      <c r="H5" s="142"/>
      <c r="I5" s="3"/>
      <c r="J5" s="140" t="s">
        <v>5</v>
      </c>
      <c r="K5" s="141"/>
      <c r="L5" s="142"/>
      <c r="M5" s="4"/>
      <c r="N5" s="140" t="s">
        <v>6</v>
      </c>
      <c r="O5" s="141"/>
      <c r="P5" s="142"/>
      <c r="Q5" s="3"/>
      <c r="R5" s="140" t="s">
        <v>7</v>
      </c>
      <c r="S5" s="141"/>
      <c r="T5" s="143"/>
      <c r="U5" s="127" t="s">
        <v>8</v>
      </c>
    </row>
    <row r="6" spans="2:21" s="8" customFormat="1" ht="28.5" customHeight="1" thickBot="1">
      <c r="B6" s="137"/>
      <c r="C6" s="138"/>
      <c r="D6" s="138"/>
      <c r="E6" s="139"/>
      <c r="F6" s="5" t="s">
        <v>9</v>
      </c>
      <c r="G6" s="6" t="s">
        <v>10</v>
      </c>
      <c r="H6" s="5" t="s">
        <v>11</v>
      </c>
      <c r="I6" s="6"/>
      <c r="J6" s="5" t="s">
        <v>12</v>
      </c>
      <c r="K6" s="6" t="s">
        <v>10</v>
      </c>
      <c r="L6" s="5" t="s">
        <v>11</v>
      </c>
      <c r="M6" s="5"/>
      <c r="N6" s="5" t="s">
        <v>9</v>
      </c>
      <c r="O6" s="6" t="s">
        <v>10</v>
      </c>
      <c r="P6" s="5" t="s">
        <v>11</v>
      </c>
      <c r="Q6" s="5"/>
      <c r="R6" s="6" t="s">
        <v>13</v>
      </c>
      <c r="S6" s="6" t="s">
        <v>10</v>
      </c>
      <c r="T6" s="7" t="s">
        <v>11</v>
      </c>
      <c r="U6" s="128"/>
    </row>
    <row r="7" spans="2:21" ht="24.95" customHeight="1">
      <c r="B7" s="9"/>
      <c r="C7" s="10"/>
      <c r="D7" s="10"/>
      <c r="E7" s="11"/>
      <c r="F7" s="12"/>
      <c r="G7" s="12"/>
      <c r="H7" s="12"/>
      <c r="I7" s="13"/>
      <c r="J7" s="12"/>
      <c r="K7" s="12"/>
      <c r="L7" s="12"/>
      <c r="M7" s="12"/>
      <c r="N7" s="12"/>
      <c r="O7" s="12"/>
      <c r="P7" s="12"/>
      <c r="Q7" s="13"/>
      <c r="R7" s="12"/>
      <c r="S7" s="12"/>
      <c r="T7" s="14"/>
      <c r="U7" s="15"/>
    </row>
    <row r="8" spans="2:21" ht="24.95" customHeight="1">
      <c r="B8" s="9" t="s">
        <v>14</v>
      </c>
      <c r="C8" s="10"/>
      <c r="D8" s="10"/>
      <c r="E8" s="11"/>
      <c r="F8" s="12">
        <f>2717506000-229729470.8</f>
        <v>2487776529.1999998</v>
      </c>
      <c r="G8" s="12">
        <v>641929014.99000001</v>
      </c>
      <c r="H8" s="12">
        <f>+F8-G8</f>
        <v>1845847514.2099998</v>
      </c>
      <c r="I8" s="13"/>
      <c r="J8" s="12"/>
      <c r="K8" s="12"/>
      <c r="L8" s="12">
        <f>+J8-K8</f>
        <v>0</v>
      </c>
      <c r="M8" s="12"/>
      <c r="N8" s="12">
        <v>120373</v>
      </c>
      <c r="O8" s="12">
        <v>528887.15</v>
      </c>
      <c r="P8" s="12">
        <f>+N8-O8</f>
        <v>-408514.15</v>
      </c>
      <c r="Q8" s="16"/>
      <c r="R8" s="12">
        <f>+F8+J8+N8</f>
        <v>2487896902.1999998</v>
      </c>
      <c r="S8" s="12">
        <f>+G8+K8+O8</f>
        <v>642457902.13999999</v>
      </c>
      <c r="T8" s="14">
        <f>+R8-S8</f>
        <v>1845439000.0599999</v>
      </c>
      <c r="U8" s="17">
        <f>+S8/R8</f>
        <v>0.25823333015603933</v>
      </c>
    </row>
    <row r="9" spans="2:21" ht="24.95" customHeight="1">
      <c r="B9" s="18"/>
      <c r="C9" s="10"/>
      <c r="D9" s="10"/>
      <c r="E9" s="19"/>
      <c r="F9" s="12"/>
      <c r="G9" s="12"/>
      <c r="H9" s="12">
        <f>+F9-G9</f>
        <v>0</v>
      </c>
      <c r="I9" s="13"/>
      <c r="J9" s="12"/>
      <c r="K9" s="12"/>
      <c r="L9" s="12">
        <f>+J9-K9</f>
        <v>0</v>
      </c>
      <c r="M9" s="12"/>
      <c r="N9" s="12"/>
      <c r="O9" s="12"/>
      <c r="P9" s="12">
        <f>+N9-O9</f>
        <v>0</v>
      </c>
      <c r="Q9" s="13"/>
      <c r="R9" s="12"/>
      <c r="S9" s="12"/>
      <c r="T9" s="14"/>
      <c r="U9" s="17"/>
    </row>
    <row r="10" spans="2:21" ht="24.95" customHeight="1">
      <c r="B10" s="9" t="s">
        <v>15</v>
      </c>
      <c r="C10" s="10"/>
      <c r="D10" s="10"/>
      <c r="E10" s="11"/>
      <c r="F10" s="12"/>
      <c r="G10" s="12"/>
      <c r="H10" s="12"/>
      <c r="I10" s="13"/>
      <c r="J10" s="12"/>
      <c r="K10" s="12"/>
      <c r="L10" s="12"/>
      <c r="M10" s="12"/>
      <c r="N10" s="12"/>
      <c r="O10" s="12"/>
      <c r="P10" s="12"/>
      <c r="Q10" s="13"/>
      <c r="R10" s="12"/>
      <c r="S10" s="12"/>
      <c r="T10" s="14"/>
      <c r="U10" s="17"/>
    </row>
    <row r="11" spans="2:21" ht="30" customHeight="1">
      <c r="B11" s="9"/>
      <c r="C11" s="129" t="s">
        <v>16</v>
      </c>
      <c r="D11" s="129"/>
      <c r="E11" s="130"/>
      <c r="F11" s="12">
        <f>SUM(F13:F46)</f>
        <v>1049580920.6800001</v>
      </c>
      <c r="G11" s="12">
        <f t="shared" ref="G11:T11" si="0">SUM(G13:G46)</f>
        <v>560387873.62000012</v>
      </c>
      <c r="H11" s="12">
        <f t="shared" si="0"/>
        <v>489193047.06</v>
      </c>
      <c r="I11" s="12">
        <f t="shared" si="0"/>
        <v>2208000</v>
      </c>
      <c r="J11" s="12">
        <f>SUM(J13:J46)</f>
        <v>25837011.539999999</v>
      </c>
      <c r="K11" s="12">
        <f t="shared" ref="K11" si="1">SUM(K13:K46)</f>
        <v>21064296.469999999</v>
      </c>
      <c r="L11" s="12">
        <f>SUM(L13:L46)</f>
        <v>4772715.0699999984</v>
      </c>
      <c r="M11" s="12">
        <f t="shared" si="0"/>
        <v>0</v>
      </c>
      <c r="N11" s="12">
        <f>SUM(N13:N46)</f>
        <v>59187443.590000004</v>
      </c>
      <c r="O11" s="12">
        <f t="shared" ref="O11" si="2">SUM(O13:O46)</f>
        <v>22111501.66</v>
      </c>
      <c r="P11" s="12">
        <f>SUM(P13:P46)</f>
        <v>37075941.929999992</v>
      </c>
      <c r="Q11" s="12">
        <f t="shared" si="0"/>
        <v>0</v>
      </c>
      <c r="R11" s="12">
        <f t="shared" si="0"/>
        <v>1134605375.8099999</v>
      </c>
      <c r="S11" s="12">
        <f t="shared" si="0"/>
        <v>603563671.74999988</v>
      </c>
      <c r="T11" s="14">
        <f t="shared" si="0"/>
        <v>531041704.06</v>
      </c>
      <c r="U11" s="17">
        <f>+S11/R11</f>
        <v>0.53195911514090355</v>
      </c>
    </row>
    <row r="12" spans="2:21" ht="24.95" customHeight="1">
      <c r="B12" s="18"/>
      <c r="C12" s="20" t="s">
        <v>17</v>
      </c>
      <c r="D12" s="20"/>
      <c r="E12" s="10"/>
      <c r="F12" s="12"/>
      <c r="G12" s="12"/>
      <c r="H12" s="12">
        <f t="shared" ref="H12:H17" si="3">+F12-G12</f>
        <v>0</v>
      </c>
      <c r="I12" s="13"/>
      <c r="J12" s="12"/>
      <c r="K12" s="12"/>
      <c r="L12" s="12">
        <f t="shared" ref="L12:L17" si="4">+J12-K12</f>
        <v>0</v>
      </c>
      <c r="M12" s="12"/>
      <c r="N12" s="12"/>
      <c r="O12" s="12"/>
      <c r="P12" s="12">
        <f t="shared" ref="P12:P17" si="5">+N12-O12</f>
        <v>0</v>
      </c>
      <c r="Q12" s="13"/>
      <c r="R12" s="12"/>
      <c r="S12" s="12"/>
      <c r="T12" s="14"/>
      <c r="U12" s="17"/>
    </row>
    <row r="13" spans="2:21" ht="24.95" customHeight="1">
      <c r="B13" s="18"/>
      <c r="C13" s="20"/>
      <c r="D13" s="20"/>
      <c r="E13" s="10" t="s">
        <v>18</v>
      </c>
      <c r="F13" s="12">
        <v>58393424.850000001</v>
      </c>
      <c r="G13" s="12">
        <v>28816930.629999999</v>
      </c>
      <c r="H13" s="12">
        <f t="shared" si="3"/>
        <v>29576494.220000003</v>
      </c>
      <c r="I13" s="13"/>
      <c r="J13" s="12"/>
      <c r="K13" s="12"/>
      <c r="L13" s="12">
        <f t="shared" si="4"/>
        <v>0</v>
      </c>
      <c r="M13" s="12"/>
      <c r="N13" s="12"/>
      <c r="O13" s="12"/>
      <c r="P13" s="12">
        <f t="shared" si="5"/>
        <v>0</v>
      </c>
      <c r="Q13" s="13"/>
      <c r="R13" s="12">
        <f t="shared" ref="R13:S17" si="6">+F13+J13+N13</f>
        <v>58393424.850000001</v>
      </c>
      <c r="S13" s="12">
        <f t="shared" si="6"/>
        <v>28816930.629999999</v>
      </c>
      <c r="T13" s="14">
        <f>+R13-S13</f>
        <v>29576494.220000003</v>
      </c>
      <c r="U13" s="17">
        <f t="shared" ref="U13:U72" si="7">+S13/R13</f>
        <v>0.4934961548157934</v>
      </c>
    </row>
    <row r="14" spans="2:21" ht="24.95" customHeight="1">
      <c r="B14" s="18"/>
      <c r="C14" s="10"/>
      <c r="D14" s="10"/>
      <c r="E14" s="21" t="s">
        <v>19</v>
      </c>
      <c r="F14" s="12">
        <v>7420114</v>
      </c>
      <c r="G14" s="12">
        <v>4651787.05</v>
      </c>
      <c r="H14" s="12">
        <f t="shared" si="3"/>
        <v>2768326.95</v>
      </c>
      <c r="I14" s="13"/>
      <c r="J14" s="12"/>
      <c r="K14" s="12"/>
      <c r="L14" s="12">
        <f t="shared" si="4"/>
        <v>0</v>
      </c>
      <c r="M14" s="12"/>
      <c r="N14" s="12"/>
      <c r="O14" s="12"/>
      <c r="P14" s="12">
        <f t="shared" si="5"/>
        <v>0</v>
      </c>
      <c r="Q14" s="13"/>
      <c r="R14" s="12">
        <f t="shared" si="6"/>
        <v>7420114</v>
      </c>
      <c r="S14" s="12">
        <f t="shared" si="6"/>
        <v>4651787.05</v>
      </c>
      <c r="T14" s="14">
        <f>+R14-S14</f>
        <v>2768326.95</v>
      </c>
      <c r="U14" s="17">
        <f t="shared" si="7"/>
        <v>0.62691584657594202</v>
      </c>
    </row>
    <row r="15" spans="2:21" ht="27" customHeight="1">
      <c r="B15" s="18"/>
      <c r="C15" s="10"/>
      <c r="D15" s="10"/>
      <c r="E15" s="21" t="s">
        <v>20</v>
      </c>
      <c r="F15" s="12">
        <v>8637691</v>
      </c>
      <c r="G15" s="12">
        <v>3843439.9</v>
      </c>
      <c r="H15" s="12">
        <f t="shared" si="3"/>
        <v>4794251.0999999996</v>
      </c>
      <c r="I15" s="13"/>
      <c r="J15" s="12"/>
      <c r="K15" s="12"/>
      <c r="L15" s="12">
        <f t="shared" si="4"/>
        <v>0</v>
      </c>
      <c r="M15" s="12"/>
      <c r="N15" s="12"/>
      <c r="O15" s="12"/>
      <c r="P15" s="12">
        <f t="shared" si="5"/>
        <v>0</v>
      </c>
      <c r="Q15" s="13"/>
      <c r="R15" s="12">
        <f t="shared" si="6"/>
        <v>8637691</v>
      </c>
      <c r="S15" s="12">
        <f t="shared" si="6"/>
        <v>3843439.9</v>
      </c>
      <c r="T15" s="14">
        <f>+R15-S15</f>
        <v>4794251.0999999996</v>
      </c>
      <c r="U15" s="17">
        <f t="shared" si="7"/>
        <v>0.44496149491802844</v>
      </c>
    </row>
    <row r="16" spans="2:21" ht="27" customHeight="1">
      <c r="B16" s="18"/>
      <c r="C16" s="10"/>
      <c r="D16" s="10"/>
      <c r="E16" s="22" t="s">
        <v>21</v>
      </c>
      <c r="F16" s="12">
        <v>1947000</v>
      </c>
      <c r="G16" s="12">
        <v>1054576.02</v>
      </c>
      <c r="H16" s="12">
        <f t="shared" si="3"/>
        <v>892423.98</v>
      </c>
      <c r="I16" s="13"/>
      <c r="J16" s="12"/>
      <c r="K16" s="12"/>
      <c r="L16" s="12">
        <f t="shared" si="4"/>
        <v>0</v>
      </c>
      <c r="M16" s="12"/>
      <c r="N16" s="12"/>
      <c r="O16" s="12"/>
      <c r="P16" s="12">
        <f t="shared" si="5"/>
        <v>0</v>
      </c>
      <c r="Q16" s="13"/>
      <c r="R16" s="12">
        <f t="shared" si="6"/>
        <v>1947000</v>
      </c>
      <c r="S16" s="12">
        <f t="shared" si="6"/>
        <v>1054576.02</v>
      </c>
      <c r="T16" s="14">
        <f>+R16-S16</f>
        <v>892423.98</v>
      </c>
      <c r="U16" s="17">
        <f t="shared" si="7"/>
        <v>0.54164151001540828</v>
      </c>
    </row>
    <row r="17" spans="2:21" ht="27" customHeight="1">
      <c r="B17" s="18"/>
      <c r="C17" s="10"/>
      <c r="D17" s="10"/>
      <c r="E17" s="21" t="s">
        <v>22</v>
      </c>
      <c r="F17" s="12">
        <v>14317808</v>
      </c>
      <c r="G17" s="12">
        <v>7640547.8200000003</v>
      </c>
      <c r="H17" s="12">
        <f t="shared" si="3"/>
        <v>6677260.1799999997</v>
      </c>
      <c r="I17" s="13"/>
      <c r="J17" s="12"/>
      <c r="K17" s="12"/>
      <c r="L17" s="12">
        <f t="shared" si="4"/>
        <v>0</v>
      </c>
      <c r="M17" s="12"/>
      <c r="N17" s="12"/>
      <c r="O17" s="12"/>
      <c r="P17" s="12">
        <f t="shared" si="5"/>
        <v>0</v>
      </c>
      <c r="Q17" s="13"/>
      <c r="R17" s="12">
        <f t="shared" si="6"/>
        <v>14317808</v>
      </c>
      <c r="S17" s="12">
        <f t="shared" si="6"/>
        <v>7640547.8200000003</v>
      </c>
      <c r="T17" s="14">
        <f>+R17-S17</f>
        <v>6677260.1799999997</v>
      </c>
      <c r="U17" s="17">
        <f t="shared" si="7"/>
        <v>0.53363949425778023</v>
      </c>
    </row>
    <row r="18" spans="2:21" ht="24.95" customHeight="1">
      <c r="B18" s="18"/>
      <c r="C18" s="10"/>
      <c r="D18" s="10"/>
      <c r="E18" s="21"/>
      <c r="F18" s="12"/>
      <c r="G18" s="12"/>
      <c r="H18" s="12"/>
      <c r="I18" s="13"/>
      <c r="J18" s="12"/>
      <c r="K18" s="12"/>
      <c r="L18" s="12"/>
      <c r="M18" s="12"/>
      <c r="N18" s="12"/>
      <c r="O18" s="12"/>
      <c r="P18" s="12"/>
      <c r="Q18" s="13"/>
      <c r="R18" s="12"/>
      <c r="S18" s="12"/>
      <c r="T18" s="14"/>
      <c r="U18" s="17"/>
    </row>
    <row r="19" spans="2:21" ht="24.95" customHeight="1">
      <c r="B19" s="18"/>
      <c r="C19" s="20" t="s">
        <v>23</v>
      </c>
      <c r="D19" s="20"/>
      <c r="E19" s="10"/>
      <c r="F19" s="12"/>
      <c r="G19" s="12"/>
      <c r="H19" s="12"/>
      <c r="I19" s="13"/>
      <c r="J19" s="12"/>
      <c r="K19" s="12"/>
      <c r="L19" s="12"/>
      <c r="M19" s="12"/>
      <c r="N19" s="12"/>
      <c r="O19" s="12"/>
      <c r="P19" s="12"/>
      <c r="Q19" s="13"/>
      <c r="R19" s="12"/>
      <c r="S19" s="12"/>
      <c r="T19" s="14"/>
      <c r="U19" s="17"/>
    </row>
    <row r="20" spans="2:21" ht="24.95" customHeight="1">
      <c r="B20" s="18"/>
      <c r="C20" s="20"/>
      <c r="D20" s="20"/>
      <c r="E20" s="10" t="s">
        <v>24</v>
      </c>
      <c r="F20" s="12">
        <v>81772000</v>
      </c>
      <c r="G20" s="12">
        <v>20383606.059999999</v>
      </c>
      <c r="H20" s="12">
        <f>+F20-G20</f>
        <v>61388393.939999998</v>
      </c>
      <c r="I20" s="13"/>
      <c r="J20" s="12"/>
      <c r="K20" s="12"/>
      <c r="L20" s="12">
        <f>+J20-K20</f>
        <v>0</v>
      </c>
      <c r="M20" s="12"/>
      <c r="N20" s="12">
        <v>39277000</v>
      </c>
      <c r="O20" s="12">
        <v>3395812.5</v>
      </c>
      <c r="P20" s="12">
        <f>+N20-O20</f>
        <v>35881187.5</v>
      </c>
      <c r="Q20" s="13"/>
      <c r="R20" s="12">
        <f>+F20+J20+N20</f>
        <v>121049000</v>
      </c>
      <c r="S20" s="12">
        <f>+G20+K20+O20</f>
        <v>23779418.559999999</v>
      </c>
      <c r="T20" s="14">
        <f>+R20-S20</f>
        <v>97269581.439999998</v>
      </c>
      <c r="U20" s="17">
        <f t="shared" si="7"/>
        <v>0.19644456839792149</v>
      </c>
    </row>
    <row r="21" spans="2:21" ht="28.5" customHeight="1">
      <c r="B21" s="18"/>
      <c r="C21" s="10"/>
      <c r="D21" s="10"/>
      <c r="E21" s="22" t="s">
        <v>142</v>
      </c>
      <c r="F21" s="12">
        <v>35631300</v>
      </c>
      <c r="G21" s="12">
        <v>13338316.949999999</v>
      </c>
      <c r="H21" s="12">
        <f>+F21-G21</f>
        <v>22292983.050000001</v>
      </c>
      <c r="I21" s="13"/>
      <c r="J21" s="12"/>
      <c r="K21" s="12"/>
      <c r="L21" s="12">
        <f>+J21-K21</f>
        <v>0</v>
      </c>
      <c r="M21" s="12"/>
      <c r="N21" s="12">
        <v>1436799</v>
      </c>
      <c r="O21" s="12">
        <v>1436798.87</v>
      </c>
      <c r="P21" s="12">
        <f>+N21-O21</f>
        <v>0.12999999988824129</v>
      </c>
      <c r="Q21" s="13"/>
      <c r="R21" s="12">
        <f>+F21+J21+N21</f>
        <v>37068099</v>
      </c>
      <c r="S21" s="12">
        <f>+G21+K21+O21</f>
        <v>14775115.82</v>
      </c>
      <c r="T21" s="14">
        <f>+R21-S21</f>
        <v>22292983.18</v>
      </c>
      <c r="U21" s="17">
        <f t="shared" si="7"/>
        <v>0.39859383725073144</v>
      </c>
    </row>
    <row r="22" spans="2:21" ht="24.95" customHeight="1">
      <c r="B22" s="18"/>
      <c r="C22" s="10"/>
      <c r="D22" s="10"/>
      <c r="E22" s="22"/>
      <c r="F22" s="12"/>
      <c r="G22" s="12"/>
      <c r="H22" s="12"/>
      <c r="I22" s="13"/>
      <c r="J22" s="12"/>
      <c r="K22" s="12"/>
      <c r="L22" s="12"/>
      <c r="M22" s="12"/>
      <c r="N22" s="12"/>
      <c r="O22" s="12"/>
      <c r="P22" s="12"/>
      <c r="Q22" s="13"/>
      <c r="R22" s="12"/>
      <c r="S22" s="12"/>
      <c r="T22" s="14"/>
      <c r="U22" s="17"/>
    </row>
    <row r="23" spans="2:21" ht="24.95" customHeight="1">
      <c r="B23" s="18"/>
      <c r="C23" s="20" t="s">
        <v>26</v>
      </c>
      <c r="D23" s="20"/>
      <c r="E23" s="10"/>
      <c r="F23" s="12"/>
      <c r="G23" s="12"/>
      <c r="H23" s="12"/>
      <c r="I23" s="13"/>
      <c r="J23" s="12"/>
      <c r="K23" s="12"/>
      <c r="L23" s="12"/>
      <c r="M23" s="12"/>
      <c r="N23" s="12"/>
      <c r="O23" s="12"/>
      <c r="P23" s="12"/>
      <c r="Q23" s="13"/>
      <c r="R23" s="12"/>
      <c r="S23" s="12"/>
      <c r="T23" s="14"/>
      <c r="U23" s="17"/>
    </row>
    <row r="24" spans="2:21" ht="24.95" customHeight="1">
      <c r="B24" s="18"/>
      <c r="C24" s="20"/>
      <c r="D24" s="20"/>
      <c r="E24" s="10" t="s">
        <v>27</v>
      </c>
      <c r="F24" s="12">
        <v>74023000</v>
      </c>
      <c r="G24" s="12">
        <v>18410225.260000002</v>
      </c>
      <c r="H24" s="12">
        <f>+F24-G24</f>
        <v>55612774.739999995</v>
      </c>
      <c r="I24" s="13"/>
      <c r="J24" s="12"/>
      <c r="K24" s="12"/>
      <c r="L24" s="12">
        <f>+J24-K24</f>
        <v>0</v>
      </c>
      <c r="M24" s="12"/>
      <c r="N24" s="12"/>
      <c r="O24" s="12"/>
      <c r="P24" s="12">
        <f>+N24-O24</f>
        <v>0</v>
      </c>
      <c r="Q24" s="13"/>
      <c r="R24" s="12">
        <f t="shared" ref="R24:S26" si="8">+F24+J24+N24</f>
        <v>74023000</v>
      </c>
      <c r="S24" s="12">
        <f t="shared" si="8"/>
        <v>18410225.260000002</v>
      </c>
      <c r="T24" s="14">
        <f>+R24-S24</f>
        <v>55612774.739999995</v>
      </c>
      <c r="U24" s="17">
        <f t="shared" si="7"/>
        <v>0.24870952622833445</v>
      </c>
    </row>
    <row r="25" spans="2:21" ht="27.75" customHeight="1">
      <c r="B25" s="18"/>
      <c r="C25" s="10"/>
      <c r="D25" s="10"/>
      <c r="E25" s="22" t="s">
        <v>28</v>
      </c>
      <c r="F25" s="12">
        <v>5894000</v>
      </c>
      <c r="G25" s="12">
        <v>5112144.1399999997</v>
      </c>
      <c r="H25" s="12">
        <f>+F25-G25</f>
        <v>781855.86000000034</v>
      </c>
      <c r="I25" s="13"/>
      <c r="J25" s="12"/>
      <c r="K25" s="12"/>
      <c r="L25" s="12">
        <f>+J25-K25</f>
        <v>0</v>
      </c>
      <c r="M25" s="12"/>
      <c r="N25" s="12"/>
      <c r="O25" s="12"/>
      <c r="P25" s="12">
        <f>+N25-O25</f>
        <v>0</v>
      </c>
      <c r="Q25" s="13"/>
      <c r="R25" s="12">
        <f t="shared" si="8"/>
        <v>5894000</v>
      </c>
      <c r="S25" s="12">
        <f t="shared" si="8"/>
        <v>5112144.1399999997</v>
      </c>
      <c r="T25" s="14">
        <f>+R25-S25</f>
        <v>781855.86000000034</v>
      </c>
      <c r="U25" s="17">
        <f t="shared" si="7"/>
        <v>0.86734715643026805</v>
      </c>
    </row>
    <row r="26" spans="2:21" ht="27.75" customHeight="1">
      <c r="B26" s="18"/>
      <c r="C26" s="10"/>
      <c r="D26" s="10"/>
      <c r="E26" s="22" t="s">
        <v>29</v>
      </c>
      <c r="F26" s="12">
        <v>4236000</v>
      </c>
      <c r="G26" s="12">
        <v>3008169.63</v>
      </c>
      <c r="H26" s="12">
        <f>+F26-G26</f>
        <v>1227830.3700000001</v>
      </c>
      <c r="I26" s="13"/>
      <c r="J26" s="12"/>
      <c r="K26" s="12"/>
      <c r="L26" s="12">
        <f>+J26-K26</f>
        <v>0</v>
      </c>
      <c r="M26" s="12"/>
      <c r="N26" s="12">
        <v>376994</v>
      </c>
      <c r="O26" s="12"/>
      <c r="P26" s="12">
        <f>+N26-O26</f>
        <v>376994</v>
      </c>
      <c r="Q26" s="13"/>
      <c r="R26" s="12">
        <f t="shared" si="8"/>
        <v>4612994</v>
      </c>
      <c r="S26" s="12">
        <f t="shared" si="8"/>
        <v>3008169.63</v>
      </c>
      <c r="T26" s="14">
        <f>+R26-S26</f>
        <v>1604824.37</v>
      </c>
      <c r="U26" s="17">
        <f t="shared" si="7"/>
        <v>0.65210785663280724</v>
      </c>
    </row>
    <row r="27" spans="2:21" ht="24.95" customHeight="1">
      <c r="B27" s="18"/>
      <c r="C27" s="10"/>
      <c r="D27" s="10"/>
      <c r="E27" s="22"/>
      <c r="F27" s="12"/>
      <c r="G27" s="12"/>
      <c r="H27" s="12"/>
      <c r="I27" s="13"/>
      <c r="J27" s="12"/>
      <c r="K27" s="12"/>
      <c r="L27" s="12"/>
      <c r="M27" s="12"/>
      <c r="N27" s="12"/>
      <c r="O27" s="12"/>
      <c r="P27" s="12"/>
      <c r="Q27" s="13"/>
      <c r="R27" s="12"/>
      <c r="S27" s="12"/>
      <c r="T27" s="14"/>
      <c r="U27" s="17"/>
    </row>
    <row r="28" spans="2:21" ht="24.95" customHeight="1">
      <c r="B28" s="18"/>
      <c r="C28" s="20" t="s">
        <v>30</v>
      </c>
      <c r="D28" s="20"/>
      <c r="E28" s="10"/>
      <c r="F28" s="12"/>
      <c r="G28" s="12"/>
      <c r="H28" s="12"/>
      <c r="I28" s="13"/>
      <c r="J28" s="12"/>
      <c r="K28" s="12"/>
      <c r="L28" s="12"/>
      <c r="M28" s="12"/>
      <c r="N28" s="12"/>
      <c r="O28" s="12"/>
      <c r="P28" s="12"/>
      <c r="Q28" s="13"/>
      <c r="R28" s="12"/>
      <c r="S28" s="12"/>
      <c r="T28" s="14"/>
      <c r="U28" s="17"/>
    </row>
    <row r="29" spans="2:21" ht="24.95" customHeight="1">
      <c r="B29" s="18"/>
      <c r="C29" s="20"/>
      <c r="D29" s="20"/>
      <c r="E29" s="10" t="s">
        <v>31</v>
      </c>
      <c r="F29" s="23">
        <v>49790957.299999997</v>
      </c>
      <c r="G29" s="23">
        <v>27743449.84</v>
      </c>
      <c r="H29" s="12">
        <f>+F29-G29</f>
        <v>22047507.459999997</v>
      </c>
      <c r="I29" s="13"/>
      <c r="J29" s="23"/>
      <c r="K29" s="23"/>
      <c r="L29" s="12">
        <f>+J29-K29</f>
        <v>0</v>
      </c>
      <c r="M29" s="12"/>
      <c r="N29" s="23">
        <v>11963042.699999999</v>
      </c>
      <c r="O29" s="23">
        <v>11963042.699999999</v>
      </c>
      <c r="P29" s="12">
        <f>+N29-O29</f>
        <v>0</v>
      </c>
      <c r="Q29" s="13"/>
      <c r="R29" s="12">
        <f t="shared" ref="R29:S32" si="9">+F29+J29+N29</f>
        <v>61754000</v>
      </c>
      <c r="S29" s="12">
        <f t="shared" si="9"/>
        <v>39706492.539999999</v>
      </c>
      <c r="T29" s="14">
        <f>+R29-S29</f>
        <v>22047507.460000001</v>
      </c>
      <c r="U29" s="17">
        <f t="shared" si="7"/>
        <v>0.64297847167794797</v>
      </c>
    </row>
    <row r="30" spans="2:21" ht="28.5" customHeight="1">
      <c r="B30" s="18"/>
      <c r="C30" s="10"/>
      <c r="D30" s="10"/>
      <c r="E30" s="22" t="s">
        <v>32</v>
      </c>
      <c r="F30" s="12">
        <v>57876000</v>
      </c>
      <c r="G30" s="12">
        <v>20871785.539999999</v>
      </c>
      <c r="H30" s="12">
        <f>+F30-G30</f>
        <v>37004214.460000001</v>
      </c>
      <c r="I30" s="13"/>
      <c r="J30" s="12"/>
      <c r="K30" s="12"/>
      <c r="L30" s="12">
        <f>+J30-K30</f>
        <v>0</v>
      </c>
      <c r="M30" s="12"/>
      <c r="N30" s="12"/>
      <c r="O30" s="12"/>
      <c r="P30" s="12">
        <f>+N30-O30</f>
        <v>0</v>
      </c>
      <c r="Q30" s="13"/>
      <c r="R30" s="12">
        <f t="shared" si="9"/>
        <v>57876000</v>
      </c>
      <c r="S30" s="12">
        <f t="shared" si="9"/>
        <v>20871785.539999999</v>
      </c>
      <c r="T30" s="14">
        <f>+R30-S30</f>
        <v>37004214.460000001</v>
      </c>
      <c r="U30" s="17">
        <f t="shared" si="7"/>
        <v>0.36062937210588153</v>
      </c>
    </row>
    <row r="31" spans="2:21" ht="28.5" customHeight="1">
      <c r="B31" s="18"/>
      <c r="C31" s="10"/>
      <c r="D31" s="10"/>
      <c r="E31" s="22" t="s">
        <v>33</v>
      </c>
      <c r="F31" s="12">
        <v>34913000</v>
      </c>
      <c r="G31" s="12">
        <v>24158735.440000001</v>
      </c>
      <c r="H31" s="12">
        <f>+F31-G31</f>
        <v>10754264.559999999</v>
      </c>
      <c r="I31" s="13"/>
      <c r="J31" s="12"/>
      <c r="K31" s="12"/>
      <c r="L31" s="12">
        <f>+J31-K31</f>
        <v>0</v>
      </c>
      <c r="M31" s="12"/>
      <c r="N31" s="12">
        <v>483311</v>
      </c>
      <c r="O31" s="12">
        <v>483309.77999999997</v>
      </c>
      <c r="P31" s="12">
        <f>+N31-O31</f>
        <v>1.220000000030268</v>
      </c>
      <c r="Q31" s="13"/>
      <c r="R31" s="12">
        <f t="shared" si="9"/>
        <v>35396311</v>
      </c>
      <c r="S31" s="12">
        <f t="shared" si="9"/>
        <v>24642045.220000003</v>
      </c>
      <c r="T31" s="14">
        <f>+R31-S31</f>
        <v>10754265.779999997</v>
      </c>
      <c r="U31" s="17">
        <f t="shared" si="7"/>
        <v>0.69617552009869055</v>
      </c>
    </row>
    <row r="32" spans="2:21" ht="28.5" customHeight="1">
      <c r="B32" s="18"/>
      <c r="C32" s="10"/>
      <c r="D32" s="10"/>
      <c r="E32" s="22" t="s">
        <v>34</v>
      </c>
      <c r="F32" s="12">
        <v>4896000</v>
      </c>
      <c r="G32" s="12">
        <v>2532530.39</v>
      </c>
      <c r="H32" s="12">
        <f>+F32-G32</f>
        <v>2363469.61</v>
      </c>
      <c r="I32" s="13"/>
      <c r="J32" s="12"/>
      <c r="K32" s="12"/>
      <c r="L32" s="12">
        <f>+J32-K32</f>
        <v>0</v>
      </c>
      <c r="M32" s="12"/>
      <c r="N32" s="12"/>
      <c r="O32" s="12"/>
      <c r="P32" s="12">
        <f>+N32-O32</f>
        <v>0</v>
      </c>
      <c r="Q32" s="13"/>
      <c r="R32" s="12">
        <f t="shared" si="9"/>
        <v>4896000</v>
      </c>
      <c r="S32" s="12">
        <f t="shared" si="9"/>
        <v>2532530.39</v>
      </c>
      <c r="T32" s="14">
        <f>+R32-S32</f>
        <v>2363469.61</v>
      </c>
      <c r="U32" s="17">
        <f t="shared" si="7"/>
        <v>0.51726519403594773</v>
      </c>
    </row>
    <row r="33" spans="2:23" ht="27.75" customHeight="1">
      <c r="B33" s="18"/>
      <c r="C33" s="10"/>
      <c r="D33" s="10"/>
      <c r="E33" s="22"/>
      <c r="F33" s="12"/>
      <c r="G33" s="12"/>
      <c r="H33" s="12"/>
      <c r="I33" s="13"/>
      <c r="J33" s="12"/>
      <c r="K33" s="12"/>
      <c r="L33" s="12"/>
      <c r="M33" s="12"/>
      <c r="N33" s="12"/>
      <c r="O33" s="12"/>
      <c r="P33" s="12"/>
      <c r="Q33" s="13"/>
      <c r="R33" s="12"/>
      <c r="S33" s="12"/>
      <c r="T33" s="14"/>
      <c r="U33" s="17"/>
    </row>
    <row r="34" spans="2:23" ht="24.95" customHeight="1">
      <c r="B34" s="18"/>
      <c r="C34" s="24" t="s">
        <v>35</v>
      </c>
      <c r="D34" s="10"/>
      <c r="E34" s="22"/>
      <c r="F34" s="12"/>
      <c r="G34" s="12"/>
      <c r="H34" s="12"/>
      <c r="I34" s="13"/>
      <c r="J34" s="12"/>
      <c r="K34" s="12"/>
      <c r="L34" s="12"/>
      <c r="M34" s="12"/>
      <c r="N34" s="12"/>
      <c r="O34" s="12"/>
      <c r="P34" s="12"/>
      <c r="Q34" s="13"/>
      <c r="R34" s="12"/>
      <c r="S34" s="12"/>
      <c r="T34" s="14"/>
      <c r="U34" s="17"/>
    </row>
    <row r="35" spans="2:23" ht="24.95" customHeight="1">
      <c r="B35" s="18"/>
      <c r="C35" s="10"/>
      <c r="D35" s="25" t="s">
        <v>36</v>
      </c>
      <c r="E35" s="26"/>
      <c r="F35" s="12">
        <v>22876400</v>
      </c>
      <c r="G35" s="12">
        <v>16199863.600000001</v>
      </c>
      <c r="H35" s="12">
        <f>+F35-G35</f>
        <v>6676536.3999999985</v>
      </c>
      <c r="I35" s="13"/>
      <c r="J35" s="12"/>
      <c r="K35" s="12"/>
      <c r="L35" s="12">
        <f>+J35-K35</f>
        <v>0</v>
      </c>
      <c r="M35" s="12"/>
      <c r="N35" s="12"/>
      <c r="O35" s="12">
        <v>1058408.96</v>
      </c>
      <c r="P35" s="12">
        <f>+N35-O35</f>
        <v>-1058408.96</v>
      </c>
      <c r="Q35" s="13"/>
      <c r="R35" s="12">
        <f t="shared" ref="R35:S46" si="10">+F35+J35+N35</f>
        <v>22876400</v>
      </c>
      <c r="S35" s="12">
        <f t="shared" si="10"/>
        <v>17258272.560000002</v>
      </c>
      <c r="T35" s="14">
        <f>+R35-S35</f>
        <v>5618127.4399999976</v>
      </c>
      <c r="U35" s="17">
        <f t="shared" si="7"/>
        <v>0.75441383084751112</v>
      </c>
    </row>
    <row r="36" spans="2:23" ht="24.95" customHeight="1">
      <c r="B36" s="18"/>
      <c r="C36" s="10"/>
      <c r="D36" s="27" t="s">
        <v>37</v>
      </c>
      <c r="E36" s="22"/>
      <c r="F36" s="12">
        <v>106648000</v>
      </c>
      <c r="G36" s="12">
        <v>104233406.34</v>
      </c>
      <c r="H36" s="12">
        <f>+F36-G36</f>
        <v>2414593.6599999964</v>
      </c>
      <c r="I36" s="13"/>
      <c r="J36" s="12">
        <f>12161900.54+1148611+226500</f>
        <v>13537011.539999999</v>
      </c>
      <c r="K36" s="12">
        <v>8764296.4700000007</v>
      </c>
      <c r="L36" s="12">
        <f>+J36-K36</f>
        <v>4772715.0699999984</v>
      </c>
      <c r="M36" s="12"/>
      <c r="N36" s="12">
        <v>155737.89000000001</v>
      </c>
      <c r="O36" s="12">
        <v>144277.71</v>
      </c>
      <c r="P36" s="12">
        <f>+N36-O36</f>
        <v>11460.180000000022</v>
      </c>
      <c r="Q36" s="13"/>
      <c r="R36" s="12">
        <f t="shared" si="10"/>
        <v>120340749.42999999</v>
      </c>
      <c r="S36" s="12">
        <f t="shared" si="10"/>
        <v>113141980.52</v>
      </c>
      <c r="T36" s="14">
        <f>+R36-S36</f>
        <v>7198768.9099999964</v>
      </c>
      <c r="U36" s="17">
        <f t="shared" si="7"/>
        <v>0.94018012232683168</v>
      </c>
    </row>
    <row r="37" spans="2:23" ht="24.95" customHeight="1">
      <c r="B37" s="18"/>
      <c r="C37" s="10"/>
      <c r="D37" s="28" t="s">
        <v>38</v>
      </c>
      <c r="E37" s="22"/>
      <c r="F37" s="12">
        <v>45412000</v>
      </c>
      <c r="G37" s="12">
        <v>21663011.859999999</v>
      </c>
      <c r="H37" s="12">
        <f>+F37-G37</f>
        <v>23748988.140000001</v>
      </c>
      <c r="I37" s="13"/>
      <c r="J37" s="12"/>
      <c r="K37" s="12"/>
      <c r="L37" s="12">
        <f>+J37-K37</f>
        <v>0</v>
      </c>
      <c r="M37" s="12"/>
      <c r="N37" s="12">
        <v>1036222</v>
      </c>
      <c r="O37" s="12">
        <v>1887896.81</v>
      </c>
      <c r="P37" s="12">
        <f>+N37-O37</f>
        <v>-851674.81</v>
      </c>
      <c r="Q37" s="13"/>
      <c r="R37" s="12">
        <f t="shared" si="10"/>
        <v>46448222</v>
      </c>
      <c r="S37" s="12">
        <f t="shared" si="10"/>
        <v>23550908.669999998</v>
      </c>
      <c r="T37" s="14">
        <f>+R37-S37</f>
        <v>22897313.330000002</v>
      </c>
      <c r="U37" s="17">
        <f t="shared" si="7"/>
        <v>0.50703574121739248</v>
      </c>
    </row>
    <row r="38" spans="2:23" ht="24.95" customHeight="1">
      <c r="B38" s="18"/>
      <c r="C38" s="10"/>
      <c r="D38" s="28" t="s">
        <v>39</v>
      </c>
      <c r="E38" s="22"/>
      <c r="F38" s="12">
        <v>58898604.530000001</v>
      </c>
      <c r="G38" s="12">
        <v>14289618.220000001</v>
      </c>
      <c r="H38" s="12">
        <f>+F38-G38</f>
        <v>44608986.310000002</v>
      </c>
      <c r="I38" s="13"/>
      <c r="J38" s="12"/>
      <c r="K38" s="12"/>
      <c r="L38" s="12">
        <f>+J38-K38</f>
        <v>0</v>
      </c>
      <c r="M38" s="12"/>
      <c r="N38" s="12">
        <v>496694</v>
      </c>
      <c r="O38" s="12">
        <v>461855.6</v>
      </c>
      <c r="P38" s="12">
        <f>+N38-O38</f>
        <v>34838.400000000023</v>
      </c>
      <c r="Q38" s="13"/>
      <c r="R38" s="12">
        <f t="shared" si="10"/>
        <v>59395298.530000001</v>
      </c>
      <c r="S38" s="12">
        <f t="shared" si="10"/>
        <v>14751473.82</v>
      </c>
      <c r="T38" s="14">
        <f>+R38-S38</f>
        <v>44643824.710000001</v>
      </c>
      <c r="U38" s="17">
        <f t="shared" si="7"/>
        <v>0.24836096770435745</v>
      </c>
    </row>
    <row r="39" spans="2:23" ht="24.95" customHeight="1">
      <c r="B39" s="18"/>
      <c r="C39" s="10"/>
      <c r="D39" s="28" t="s">
        <v>40</v>
      </c>
      <c r="E39" s="22"/>
      <c r="F39" s="12">
        <v>85891121</v>
      </c>
      <c r="G39" s="12">
        <v>67866800.469999999</v>
      </c>
      <c r="H39" s="12">
        <f t="shared" ref="H39:H44" si="11">+F39-G39</f>
        <v>18024320.530000001</v>
      </c>
      <c r="I39" s="13"/>
      <c r="J39" s="12"/>
      <c r="K39" s="12"/>
      <c r="L39" s="12">
        <f t="shared" ref="L39:L44" si="12">+J39-K39</f>
        <v>0</v>
      </c>
      <c r="M39" s="12"/>
      <c r="N39" s="12"/>
      <c r="O39" s="12"/>
      <c r="P39" s="12">
        <f t="shared" ref="P39:P44" si="13">+N39-O39</f>
        <v>0</v>
      </c>
      <c r="Q39" s="13"/>
      <c r="R39" s="12">
        <f t="shared" si="10"/>
        <v>85891121</v>
      </c>
      <c r="S39" s="12">
        <f t="shared" si="10"/>
        <v>67866800.469999999</v>
      </c>
      <c r="T39" s="14">
        <f t="shared" ref="T39:T46" si="14">+R39-S39</f>
        <v>18024320.530000001</v>
      </c>
      <c r="U39" s="17">
        <f t="shared" si="7"/>
        <v>0.79014919912385351</v>
      </c>
    </row>
    <row r="40" spans="2:23" ht="24.95" customHeight="1">
      <c r="B40" s="18"/>
      <c r="C40" s="10"/>
      <c r="D40" s="28" t="s">
        <v>41</v>
      </c>
      <c r="E40" s="22"/>
      <c r="F40" s="12">
        <v>23743000</v>
      </c>
      <c r="G40" s="12">
        <v>7322522.3200000003</v>
      </c>
      <c r="H40" s="12">
        <f t="shared" si="11"/>
        <v>16420477.68</v>
      </c>
      <c r="I40" s="13"/>
      <c r="J40" s="12"/>
      <c r="K40" s="12"/>
      <c r="L40" s="12">
        <f t="shared" si="12"/>
        <v>0</v>
      </c>
      <c r="M40" s="12"/>
      <c r="N40" s="12"/>
      <c r="O40" s="12"/>
      <c r="P40" s="12">
        <f t="shared" si="13"/>
        <v>0</v>
      </c>
      <c r="Q40" s="13"/>
      <c r="R40" s="12">
        <f t="shared" si="10"/>
        <v>23743000</v>
      </c>
      <c r="S40" s="12">
        <f t="shared" si="10"/>
        <v>7322522.3200000003</v>
      </c>
      <c r="T40" s="14">
        <f t="shared" si="14"/>
        <v>16420477.68</v>
      </c>
      <c r="U40" s="17">
        <f t="shared" si="7"/>
        <v>0.30840762835362001</v>
      </c>
    </row>
    <row r="41" spans="2:23" ht="24.95" customHeight="1">
      <c r="B41" s="18"/>
      <c r="C41" s="10"/>
      <c r="D41" s="28" t="s">
        <v>42</v>
      </c>
      <c r="E41" s="22"/>
      <c r="F41" s="12">
        <v>99448000</v>
      </c>
      <c r="G41" s="12">
        <v>29668880.310000002</v>
      </c>
      <c r="H41" s="12">
        <f t="shared" si="11"/>
        <v>69779119.689999998</v>
      </c>
      <c r="I41" s="13"/>
      <c r="J41" s="12">
        <v>12300000</v>
      </c>
      <c r="K41" s="12">
        <v>12300000</v>
      </c>
      <c r="L41" s="12">
        <f t="shared" si="12"/>
        <v>0</v>
      </c>
      <c r="M41" s="12"/>
      <c r="N41" s="12">
        <v>183445</v>
      </c>
      <c r="O41" s="12">
        <v>402937.31</v>
      </c>
      <c r="P41" s="12">
        <f t="shared" si="13"/>
        <v>-219492.31</v>
      </c>
      <c r="Q41" s="13"/>
      <c r="R41" s="12">
        <f t="shared" si="10"/>
        <v>111931445</v>
      </c>
      <c r="S41" s="12">
        <f t="shared" si="10"/>
        <v>42371817.620000005</v>
      </c>
      <c r="T41" s="14">
        <f t="shared" si="14"/>
        <v>69559627.379999995</v>
      </c>
      <c r="U41" s="17">
        <f t="shared" si="7"/>
        <v>0.37855151088239775</v>
      </c>
    </row>
    <row r="42" spans="2:23" ht="24.95" customHeight="1">
      <c r="B42" s="18"/>
      <c r="C42" s="10"/>
      <c r="D42" s="25" t="s">
        <v>43</v>
      </c>
      <c r="E42" s="22"/>
      <c r="F42" s="12">
        <v>24927000</v>
      </c>
      <c r="G42" s="12">
        <v>24795733.16</v>
      </c>
      <c r="H42" s="12">
        <f t="shared" si="11"/>
        <v>131266.83999999985</v>
      </c>
      <c r="I42" s="13">
        <v>2208000</v>
      </c>
      <c r="J42" s="12"/>
      <c r="K42" s="12"/>
      <c r="L42" s="12">
        <f t="shared" si="12"/>
        <v>0</v>
      </c>
      <c r="M42" s="12"/>
      <c r="N42" s="12"/>
      <c r="O42" s="12"/>
      <c r="P42" s="12">
        <f t="shared" si="13"/>
        <v>0</v>
      </c>
      <c r="Q42" s="13"/>
      <c r="R42" s="12">
        <f t="shared" si="10"/>
        <v>24927000</v>
      </c>
      <c r="S42" s="12">
        <f t="shared" si="10"/>
        <v>24795733.16</v>
      </c>
      <c r="T42" s="14">
        <f t="shared" si="14"/>
        <v>131266.83999999985</v>
      </c>
      <c r="U42" s="17">
        <f t="shared" si="7"/>
        <v>0.99473394953263528</v>
      </c>
    </row>
    <row r="43" spans="2:23" ht="24.95" customHeight="1">
      <c r="B43" s="18"/>
      <c r="C43" s="10"/>
      <c r="D43" s="27" t="s">
        <v>44</v>
      </c>
      <c r="E43" s="22"/>
      <c r="F43" s="12">
        <v>47921000</v>
      </c>
      <c r="G43" s="12">
        <v>25017871.780000001</v>
      </c>
      <c r="H43" s="12">
        <f t="shared" si="11"/>
        <v>22903128.219999999</v>
      </c>
      <c r="I43" s="13"/>
      <c r="J43" s="12"/>
      <c r="K43" s="12"/>
      <c r="L43" s="12">
        <f t="shared" si="12"/>
        <v>0</v>
      </c>
      <c r="M43" s="12"/>
      <c r="N43" s="12"/>
      <c r="O43" s="12"/>
      <c r="P43" s="12">
        <f t="shared" si="13"/>
        <v>0</v>
      </c>
      <c r="Q43" s="13"/>
      <c r="R43" s="12">
        <f t="shared" si="10"/>
        <v>47921000</v>
      </c>
      <c r="S43" s="12">
        <f t="shared" si="10"/>
        <v>25017871.780000001</v>
      </c>
      <c r="T43" s="14">
        <f t="shared" si="14"/>
        <v>22903128.219999999</v>
      </c>
      <c r="U43" s="17">
        <f t="shared" si="7"/>
        <v>0.52206489388785715</v>
      </c>
    </row>
    <row r="44" spans="2:23" ht="24.95" customHeight="1">
      <c r="B44" s="18"/>
      <c r="C44" s="10"/>
      <c r="D44" s="28" t="s">
        <v>45</v>
      </c>
      <c r="E44" s="22"/>
      <c r="F44" s="12">
        <v>24118000</v>
      </c>
      <c r="G44" s="12">
        <f>14986468.44+60252.73</f>
        <v>15046721.17</v>
      </c>
      <c r="H44" s="12">
        <f t="shared" si="11"/>
        <v>9071278.8300000001</v>
      </c>
      <c r="I44" s="13"/>
      <c r="J44" s="12"/>
      <c r="K44" s="12"/>
      <c r="L44" s="12">
        <f t="shared" si="12"/>
        <v>0</v>
      </c>
      <c r="M44" s="12"/>
      <c r="N44" s="12">
        <v>2772738</v>
      </c>
      <c r="O44" s="12">
        <v>0</v>
      </c>
      <c r="P44" s="12">
        <f t="shared" si="13"/>
        <v>2772738</v>
      </c>
      <c r="Q44" s="13"/>
      <c r="R44" s="12">
        <f t="shared" si="10"/>
        <v>26890738</v>
      </c>
      <c r="S44" s="12">
        <f t="shared" si="10"/>
        <v>15046721.17</v>
      </c>
      <c r="T44" s="14">
        <f t="shared" si="14"/>
        <v>11844016.83</v>
      </c>
      <c r="U44" s="17">
        <f t="shared" si="7"/>
        <v>0.55955032435331453</v>
      </c>
    </row>
    <row r="45" spans="2:23" ht="24.95" customHeight="1">
      <c r="B45" s="18"/>
      <c r="C45" s="10"/>
      <c r="D45" s="29" t="s">
        <v>46</v>
      </c>
      <c r="E45" s="22"/>
      <c r="F45" s="12">
        <v>52975000</v>
      </c>
      <c r="G45" s="12">
        <v>39152381.810000002</v>
      </c>
      <c r="H45" s="12">
        <f>+F45-G45</f>
        <v>13822618.189999998</v>
      </c>
      <c r="I45" s="13"/>
      <c r="J45" s="12"/>
      <c r="K45" s="12"/>
      <c r="L45" s="12">
        <f>+J45-K45</f>
        <v>0</v>
      </c>
      <c r="M45" s="12"/>
      <c r="N45" s="12">
        <v>403444</v>
      </c>
      <c r="O45" s="12">
        <v>275145.49</v>
      </c>
      <c r="P45" s="12">
        <f>+N45-O45</f>
        <v>128298.51000000001</v>
      </c>
      <c r="Q45" s="13"/>
      <c r="R45" s="12">
        <f>+F45+J45+N45</f>
        <v>53378444</v>
      </c>
      <c r="S45" s="12">
        <f t="shared" si="10"/>
        <v>39427527.300000004</v>
      </c>
      <c r="T45" s="14">
        <f t="shared" si="14"/>
        <v>13950916.699999996</v>
      </c>
      <c r="U45" s="17">
        <f t="shared" si="7"/>
        <v>0.73864137553353948</v>
      </c>
      <c r="W45" s="30"/>
    </row>
    <row r="46" spans="2:23" ht="24.95" customHeight="1">
      <c r="B46" s="18"/>
      <c r="C46" s="10"/>
      <c r="D46" s="25" t="s">
        <v>47</v>
      </c>
      <c r="E46" s="22"/>
      <c r="F46" s="12">
        <v>16974500</v>
      </c>
      <c r="G46" s="12">
        <v>13564817.91</v>
      </c>
      <c r="H46" s="12">
        <f>+F46-G46</f>
        <v>3409682.09</v>
      </c>
      <c r="I46" s="13"/>
      <c r="J46" s="12"/>
      <c r="K46" s="12"/>
      <c r="L46" s="12">
        <f>+J46-K46</f>
        <v>0</v>
      </c>
      <c r="M46" s="12"/>
      <c r="N46" s="12">
        <v>602016</v>
      </c>
      <c r="O46" s="12">
        <v>602015.93000000005</v>
      </c>
      <c r="P46" s="12">
        <f>+N46-O46</f>
        <v>6.9999999948777258E-2</v>
      </c>
      <c r="Q46" s="13"/>
      <c r="R46" s="12">
        <f>+F46+J46+N46</f>
        <v>17576516</v>
      </c>
      <c r="S46" s="12">
        <f t="shared" si="10"/>
        <v>14166833.84</v>
      </c>
      <c r="T46" s="14">
        <f t="shared" si="14"/>
        <v>3409682.16</v>
      </c>
      <c r="U46" s="17">
        <f t="shared" si="7"/>
        <v>0.80600921365758715</v>
      </c>
    </row>
    <row r="47" spans="2:23" ht="27.75" customHeight="1">
      <c r="B47" s="18"/>
      <c r="C47" s="10"/>
      <c r="D47" s="10"/>
      <c r="E47" s="22"/>
      <c r="F47" s="12"/>
      <c r="G47" s="12"/>
      <c r="H47" s="12"/>
      <c r="I47" s="13"/>
      <c r="J47" s="12"/>
      <c r="K47" s="12"/>
      <c r="L47" s="12"/>
      <c r="M47" s="12"/>
      <c r="N47" s="12"/>
      <c r="O47" s="12"/>
      <c r="P47" s="12"/>
      <c r="Q47" s="13"/>
      <c r="R47" s="12"/>
      <c r="S47" s="12"/>
      <c r="T47" s="14"/>
      <c r="U47" s="17"/>
    </row>
    <row r="48" spans="2:23" ht="24.95" customHeight="1">
      <c r="B48" s="18"/>
      <c r="C48" s="24" t="s">
        <v>48</v>
      </c>
      <c r="D48" s="10"/>
      <c r="E48" s="22"/>
      <c r="F48" s="12"/>
      <c r="G48" s="12"/>
      <c r="H48" s="12"/>
      <c r="I48" s="13"/>
      <c r="J48" s="12"/>
      <c r="K48" s="12"/>
      <c r="L48" s="12"/>
      <c r="M48" s="12"/>
      <c r="N48" s="12"/>
      <c r="O48" s="12"/>
      <c r="P48" s="12"/>
      <c r="Q48" s="13"/>
      <c r="R48" s="12"/>
      <c r="S48" s="12"/>
      <c r="T48" s="14"/>
      <c r="U48" s="17"/>
    </row>
    <row r="49" spans="2:25" ht="24.95" customHeight="1">
      <c r="B49" s="18"/>
      <c r="C49" s="10"/>
      <c r="D49" s="10"/>
      <c r="E49" s="10" t="s">
        <v>49</v>
      </c>
      <c r="F49" s="12">
        <v>16807000</v>
      </c>
      <c r="G49" s="12">
        <v>4106278.46</v>
      </c>
      <c r="H49" s="12">
        <f>+F49-G49</f>
        <v>12700721.539999999</v>
      </c>
      <c r="I49" s="13"/>
      <c r="J49" s="12"/>
      <c r="K49" s="12"/>
      <c r="L49" s="12">
        <f>+J49-K49</f>
        <v>0</v>
      </c>
      <c r="M49" s="12"/>
      <c r="N49" s="12"/>
      <c r="O49" s="12"/>
      <c r="P49" s="12">
        <f>+N49-O49</f>
        <v>0</v>
      </c>
      <c r="Q49" s="13"/>
      <c r="R49" s="12">
        <f>+F49+J49+N49</f>
        <v>16807000</v>
      </c>
      <c r="S49" s="12">
        <f>+G49+K49+O49</f>
        <v>4106278.46</v>
      </c>
      <c r="T49" s="14">
        <f>+R49-S49</f>
        <v>12700721.539999999</v>
      </c>
      <c r="U49" s="17">
        <f t="shared" si="7"/>
        <v>0.24431953709763787</v>
      </c>
    </row>
    <row r="50" spans="2:25" ht="24.95" customHeight="1">
      <c r="B50" s="18"/>
      <c r="C50" s="10"/>
      <c r="D50" s="10"/>
      <c r="E50" s="10" t="s">
        <v>50</v>
      </c>
      <c r="F50" s="12">
        <v>25020000</v>
      </c>
      <c r="G50" s="12">
        <v>16320580.91</v>
      </c>
      <c r="H50" s="12">
        <f>+F50-G50</f>
        <v>8699419.0899999999</v>
      </c>
      <c r="I50" s="13"/>
      <c r="J50" s="12"/>
      <c r="K50" s="12"/>
      <c r="L50" s="12">
        <f>+J50-K50</f>
        <v>0</v>
      </c>
      <c r="M50" s="12"/>
      <c r="N50" s="12"/>
      <c r="O50" s="12"/>
      <c r="P50" s="12">
        <f>+N50-O50</f>
        <v>0</v>
      </c>
      <c r="Q50" s="13"/>
      <c r="R50" s="12">
        <f>+F50+J50+N50</f>
        <v>25020000</v>
      </c>
      <c r="S50" s="12">
        <f>+G50+K50+O50</f>
        <v>16320580.91</v>
      </c>
      <c r="T50" s="14">
        <f>+R50-S50</f>
        <v>8699419.0899999999</v>
      </c>
      <c r="U50" s="17">
        <f t="shared" si="7"/>
        <v>0.65230139528377296</v>
      </c>
    </row>
    <row r="51" spans="2:25" ht="27.75" customHeight="1">
      <c r="B51" s="18"/>
      <c r="C51" s="10"/>
      <c r="D51" s="10"/>
      <c r="E51" s="31" t="s">
        <v>51</v>
      </c>
      <c r="F51" s="32">
        <f t="shared" ref="F51:T51" si="15">SUM(F13:F48)</f>
        <v>1049580920.6800001</v>
      </c>
      <c r="G51" s="32">
        <f t="shared" si="15"/>
        <v>560387873.62000012</v>
      </c>
      <c r="H51" s="32">
        <f t="shared" si="15"/>
        <v>489193047.06</v>
      </c>
      <c r="I51" s="32">
        <f t="shared" si="15"/>
        <v>2208000</v>
      </c>
      <c r="J51" s="32">
        <f t="shared" ref="J51:K51" si="16">SUM(J13:J48)</f>
        <v>25837011.539999999</v>
      </c>
      <c r="K51" s="32">
        <f t="shared" si="16"/>
        <v>21064296.469999999</v>
      </c>
      <c r="L51" s="32">
        <f>SUM(L13:L48)</f>
        <v>4772715.0699999984</v>
      </c>
      <c r="M51" s="32">
        <f t="shared" si="15"/>
        <v>0</v>
      </c>
      <c r="N51" s="32">
        <f t="shared" ref="N51:O51" si="17">SUM(N13:N48)</f>
        <v>59187443.590000004</v>
      </c>
      <c r="O51" s="32">
        <f t="shared" si="17"/>
        <v>22111501.66</v>
      </c>
      <c r="P51" s="32">
        <f>SUM(P13:P48)</f>
        <v>37075941.929999992</v>
      </c>
      <c r="Q51" s="32">
        <f t="shared" si="15"/>
        <v>0</v>
      </c>
      <c r="R51" s="32">
        <f t="shared" si="15"/>
        <v>1134605375.8099999</v>
      </c>
      <c r="S51" s="32">
        <f t="shared" si="15"/>
        <v>603563671.74999988</v>
      </c>
      <c r="T51" s="32">
        <f t="shared" si="15"/>
        <v>531041704.06</v>
      </c>
      <c r="U51" s="17">
        <f t="shared" si="7"/>
        <v>0.53195911514090355</v>
      </c>
    </row>
    <row r="52" spans="2:25" ht="27.75" customHeight="1">
      <c r="B52" s="18"/>
      <c r="C52" s="10"/>
      <c r="D52" s="10"/>
      <c r="E52" s="31"/>
      <c r="F52" s="32"/>
      <c r="G52" s="32"/>
      <c r="H52" s="32"/>
      <c r="I52" s="33"/>
      <c r="J52" s="32"/>
      <c r="K52" s="32"/>
      <c r="L52" s="32"/>
      <c r="M52" s="32"/>
      <c r="N52" s="32"/>
      <c r="O52" s="32"/>
      <c r="P52" s="32"/>
      <c r="Q52" s="33"/>
      <c r="R52" s="32"/>
      <c r="S52" s="32"/>
      <c r="T52" s="34"/>
      <c r="U52" s="17"/>
    </row>
    <row r="53" spans="2:25" ht="24.95" customHeight="1">
      <c r="B53" s="18"/>
      <c r="C53" s="24" t="s">
        <v>52</v>
      </c>
      <c r="D53" s="10"/>
      <c r="E53" s="22"/>
      <c r="F53" s="12">
        <f>SUM(F55:F80)</f>
        <v>799197105</v>
      </c>
      <c r="G53" s="12">
        <f t="shared" ref="G53:T53" si="18">SUM(G55:G80)</f>
        <v>423454377.39000005</v>
      </c>
      <c r="H53" s="12">
        <f t="shared" si="18"/>
        <v>375742727.60999995</v>
      </c>
      <c r="I53" s="12">
        <f t="shared" si="18"/>
        <v>0</v>
      </c>
      <c r="J53" s="12">
        <f>SUM(J55:J80)</f>
        <v>58553319.259999998</v>
      </c>
      <c r="K53" s="12">
        <f t="shared" ref="K53" si="19">SUM(K55:K80)</f>
        <v>22792667.809999999</v>
      </c>
      <c r="L53" s="12">
        <f>SUM(L55:L80)</f>
        <v>35760651.450000003</v>
      </c>
      <c r="M53" s="12">
        <f t="shared" si="18"/>
        <v>0</v>
      </c>
      <c r="N53" s="12">
        <f>SUM(N55:N80)</f>
        <v>12302252</v>
      </c>
      <c r="O53" s="12">
        <f t="shared" ref="O53" si="20">SUM(O55:O80)</f>
        <v>6886959.6900000004</v>
      </c>
      <c r="P53" s="12">
        <f>SUM(P55:P80)</f>
        <v>5415292.3099999996</v>
      </c>
      <c r="Q53" s="12">
        <f t="shared" si="18"/>
        <v>0</v>
      </c>
      <c r="R53" s="12">
        <f t="shared" si="18"/>
        <v>870052676.25999999</v>
      </c>
      <c r="S53" s="12">
        <f t="shared" si="18"/>
        <v>453134004.89000005</v>
      </c>
      <c r="T53" s="14">
        <f t="shared" si="18"/>
        <v>416918671.36999983</v>
      </c>
      <c r="U53" s="17">
        <f>+S53/R53</f>
        <v>0.52081214994687164</v>
      </c>
    </row>
    <row r="54" spans="2:25" ht="24.95" customHeight="1">
      <c r="B54" s="18"/>
      <c r="C54" s="20" t="s">
        <v>53</v>
      </c>
      <c r="D54" s="20"/>
      <c r="E54" s="10"/>
      <c r="F54" s="12"/>
      <c r="G54" s="12"/>
      <c r="H54" s="12">
        <f t="shared" ref="H54:H59" si="21">+F54-G54</f>
        <v>0</v>
      </c>
      <c r="I54" s="13"/>
      <c r="J54" s="12"/>
      <c r="K54" s="12"/>
      <c r="L54" s="12">
        <f t="shared" ref="L54:L59" si="22">+J54-K54</f>
        <v>0</v>
      </c>
      <c r="M54" s="12"/>
      <c r="N54" s="12"/>
      <c r="O54" s="12"/>
      <c r="P54" s="12">
        <f t="shared" ref="P54:P59" si="23">+N54-O54</f>
        <v>0</v>
      </c>
      <c r="Q54" s="13"/>
      <c r="R54" s="12"/>
      <c r="S54" s="12"/>
      <c r="T54" s="14"/>
      <c r="U54" s="17"/>
    </row>
    <row r="55" spans="2:25" ht="24.95" customHeight="1">
      <c r="B55" s="18"/>
      <c r="C55" s="20"/>
      <c r="D55" s="20"/>
      <c r="E55" s="10" t="s">
        <v>54</v>
      </c>
      <c r="F55" s="35">
        <v>20672000</v>
      </c>
      <c r="G55" s="36">
        <v>20672000</v>
      </c>
      <c r="H55" s="12">
        <f t="shared" si="21"/>
        <v>0</v>
      </c>
      <c r="I55" s="13"/>
      <c r="J55" s="35">
        <v>35188929.259999998</v>
      </c>
      <c r="K55" s="36">
        <v>10566205.52</v>
      </c>
      <c r="L55" s="12">
        <f t="shared" si="22"/>
        <v>24622723.739999998</v>
      </c>
      <c r="M55" s="12"/>
      <c r="N55" s="35"/>
      <c r="O55" s="36"/>
      <c r="P55" s="12">
        <f t="shared" si="23"/>
        <v>0</v>
      </c>
      <c r="Q55" s="13"/>
      <c r="R55" s="12">
        <f>+F55+J55+N55</f>
        <v>55860929.259999998</v>
      </c>
      <c r="S55" s="12">
        <f t="shared" ref="R55:S59" si="24">+G55+K55+O55</f>
        <v>31238205.52</v>
      </c>
      <c r="T55" s="14">
        <f>+R55-S55</f>
        <v>24622723.739999998</v>
      </c>
      <c r="U55" s="17">
        <f t="shared" si="7"/>
        <v>0.559213853650812</v>
      </c>
    </row>
    <row r="56" spans="2:25" ht="30" customHeight="1">
      <c r="B56" s="18"/>
      <c r="C56" s="10"/>
      <c r="D56" s="10"/>
      <c r="E56" s="21" t="s">
        <v>55</v>
      </c>
      <c r="F56" s="36">
        <v>38662000</v>
      </c>
      <c r="G56" s="37">
        <v>37414465.810000002</v>
      </c>
      <c r="H56" s="12">
        <f t="shared" si="21"/>
        <v>1247534.1899999976</v>
      </c>
      <c r="I56" s="13"/>
      <c r="J56" s="36"/>
      <c r="K56" s="37"/>
      <c r="L56" s="12">
        <f t="shared" si="22"/>
        <v>0</v>
      </c>
      <c r="M56" s="38"/>
      <c r="N56" s="36">
        <v>698365</v>
      </c>
      <c r="O56" s="37">
        <v>0</v>
      </c>
      <c r="P56" s="12">
        <f t="shared" si="23"/>
        <v>698365</v>
      </c>
      <c r="Q56" s="39"/>
      <c r="R56" s="38">
        <f t="shared" si="24"/>
        <v>39360365</v>
      </c>
      <c r="S56" s="38">
        <f t="shared" si="24"/>
        <v>37414465.810000002</v>
      </c>
      <c r="T56" s="40">
        <f>+R56-S56</f>
        <v>1945899.1899999976</v>
      </c>
      <c r="U56" s="17">
        <f t="shared" si="7"/>
        <v>0.95056196277651395</v>
      </c>
    </row>
    <row r="57" spans="2:25" ht="30" customHeight="1">
      <c r="B57" s="18"/>
      <c r="C57" s="10"/>
      <c r="D57" s="10"/>
      <c r="E57" s="21" t="s">
        <v>56</v>
      </c>
      <c r="F57" s="12">
        <v>45203000</v>
      </c>
      <c r="G57" s="12">
        <v>2422627.2999999998</v>
      </c>
      <c r="H57" s="12">
        <f t="shared" si="21"/>
        <v>42780372.700000003</v>
      </c>
      <c r="I57" s="13"/>
      <c r="J57" s="12"/>
      <c r="K57" s="12"/>
      <c r="L57" s="12">
        <f t="shared" si="22"/>
        <v>0</v>
      </c>
      <c r="M57" s="12"/>
      <c r="N57" s="12">
        <v>514413</v>
      </c>
      <c r="O57" s="12">
        <v>514413</v>
      </c>
      <c r="P57" s="12">
        <f t="shared" si="23"/>
        <v>0</v>
      </c>
      <c r="Q57" s="13"/>
      <c r="R57" s="12">
        <f t="shared" si="24"/>
        <v>45717413</v>
      </c>
      <c r="S57" s="12">
        <f t="shared" si="24"/>
        <v>2937040.3</v>
      </c>
      <c r="T57" s="14">
        <f>+R57-S57</f>
        <v>42780372.700000003</v>
      </c>
      <c r="U57" s="17">
        <f t="shared" si="7"/>
        <v>6.424336171427722E-2</v>
      </c>
    </row>
    <row r="58" spans="2:25" ht="24.95" customHeight="1">
      <c r="B58" s="18"/>
      <c r="C58" s="10"/>
      <c r="D58" s="10"/>
      <c r="E58" s="28" t="s">
        <v>57</v>
      </c>
      <c r="F58" s="12">
        <v>1407000</v>
      </c>
      <c r="G58" s="12">
        <v>1688622.290000001</v>
      </c>
      <c r="H58" s="12">
        <f t="shared" si="21"/>
        <v>-281622.29000000097</v>
      </c>
      <c r="I58" s="13"/>
      <c r="J58" s="12"/>
      <c r="K58" s="12"/>
      <c r="L58" s="12">
        <f t="shared" si="22"/>
        <v>0</v>
      </c>
      <c r="M58" s="12"/>
      <c r="N58" s="12">
        <v>7186000</v>
      </c>
      <c r="O58" s="12">
        <v>6032072.6900000004</v>
      </c>
      <c r="P58" s="12">
        <f t="shared" si="23"/>
        <v>1153927.3099999996</v>
      </c>
      <c r="Q58" s="13"/>
      <c r="R58" s="12">
        <f t="shared" si="24"/>
        <v>8593000</v>
      </c>
      <c r="S58" s="12">
        <f t="shared" si="24"/>
        <v>7720694.9800000014</v>
      </c>
      <c r="T58" s="14">
        <f>+R58-S58</f>
        <v>872305.01999999862</v>
      </c>
      <c r="U58" s="17">
        <f t="shared" si="7"/>
        <v>0.89848655649947651</v>
      </c>
    </row>
    <row r="59" spans="2:25" ht="29.25" customHeight="1">
      <c r="B59" s="18"/>
      <c r="C59" s="10"/>
      <c r="D59" s="10"/>
      <c r="E59" s="21" t="s">
        <v>58</v>
      </c>
      <c r="F59" s="12">
        <v>12517000</v>
      </c>
      <c r="G59" s="12">
        <v>2659250.3899999997</v>
      </c>
      <c r="H59" s="12">
        <f t="shared" si="21"/>
        <v>9857749.6099999994</v>
      </c>
      <c r="I59" s="13"/>
      <c r="J59" s="12"/>
      <c r="K59" s="12"/>
      <c r="L59" s="12">
        <f t="shared" si="22"/>
        <v>0</v>
      </c>
      <c r="M59" s="12"/>
      <c r="N59" s="12"/>
      <c r="O59" s="12"/>
      <c r="P59" s="12">
        <f t="shared" si="23"/>
        <v>0</v>
      </c>
      <c r="Q59" s="13"/>
      <c r="R59" s="12">
        <f t="shared" si="24"/>
        <v>12517000</v>
      </c>
      <c r="S59" s="12">
        <f t="shared" si="24"/>
        <v>2659250.3899999997</v>
      </c>
      <c r="T59" s="14">
        <f>+R59-S59</f>
        <v>9857749.6099999994</v>
      </c>
      <c r="U59" s="17">
        <f t="shared" si="7"/>
        <v>0.21245109770711829</v>
      </c>
    </row>
    <row r="60" spans="2:25" ht="24.95" customHeight="1">
      <c r="B60" s="18"/>
      <c r="C60" s="10"/>
      <c r="D60" s="10"/>
      <c r="E60" s="21"/>
      <c r="F60" s="12"/>
      <c r="G60" s="12"/>
      <c r="H60" s="12"/>
      <c r="I60" s="13"/>
      <c r="J60" s="12"/>
      <c r="K60" s="12"/>
      <c r="L60" s="12"/>
      <c r="M60" s="12"/>
      <c r="N60" s="12"/>
      <c r="O60" s="12"/>
      <c r="P60" s="12"/>
      <c r="Q60" s="13"/>
      <c r="R60" s="12"/>
      <c r="S60" s="12"/>
      <c r="T60" s="14"/>
      <c r="U60" s="17"/>
    </row>
    <row r="61" spans="2:25" ht="24.95" customHeight="1">
      <c r="B61" s="18"/>
      <c r="C61" s="20" t="s">
        <v>59</v>
      </c>
      <c r="D61" s="20"/>
      <c r="E61" s="10"/>
      <c r="F61" s="12"/>
      <c r="G61" s="12"/>
      <c r="H61" s="12"/>
      <c r="I61" s="13"/>
      <c r="J61" s="12"/>
      <c r="K61" s="12"/>
      <c r="L61" s="12"/>
      <c r="M61" s="12"/>
      <c r="N61" s="12"/>
      <c r="O61" s="12"/>
      <c r="P61" s="12"/>
      <c r="Q61" s="13"/>
      <c r="R61" s="12"/>
      <c r="S61" s="12"/>
      <c r="T61" s="14"/>
      <c r="U61" s="17"/>
    </row>
    <row r="62" spans="2:25" ht="24.95" customHeight="1">
      <c r="B62" s="18"/>
      <c r="C62" s="20"/>
      <c r="D62" s="20"/>
      <c r="E62" s="10" t="s">
        <v>60</v>
      </c>
      <c r="F62" s="12">
        <v>127135643</v>
      </c>
      <c r="G62" s="12">
        <v>38671228.490000002</v>
      </c>
      <c r="H62" s="12">
        <f>+F62-G62</f>
        <v>88464414.50999999</v>
      </c>
      <c r="I62" s="13"/>
      <c r="J62" s="12">
        <v>552000</v>
      </c>
      <c r="K62" s="12">
        <v>552000</v>
      </c>
      <c r="L62" s="12">
        <f>+J62-K62</f>
        <v>0</v>
      </c>
      <c r="M62" s="12"/>
      <c r="N62" s="12"/>
      <c r="O62" s="12"/>
      <c r="P62" s="12">
        <f>+N62-O62</f>
        <v>0</v>
      </c>
      <c r="Q62" s="13"/>
      <c r="R62" s="12">
        <f t="shared" ref="R62:S65" si="25">+F62+J62+N62</f>
        <v>127687643</v>
      </c>
      <c r="S62" s="12">
        <f t="shared" si="25"/>
        <v>39223228.490000002</v>
      </c>
      <c r="T62" s="14">
        <f>+R62-S62</f>
        <v>88464414.50999999</v>
      </c>
      <c r="U62" s="17">
        <f t="shared" si="7"/>
        <v>0.3071810832157032</v>
      </c>
    </row>
    <row r="63" spans="2:25" ht="30" customHeight="1">
      <c r="B63" s="18"/>
      <c r="C63" s="10"/>
      <c r="D63" s="10"/>
      <c r="E63" s="21" t="s">
        <v>61</v>
      </c>
      <c r="F63" s="12">
        <v>31940924</v>
      </c>
      <c r="G63" s="12">
        <v>9891835.0299999993</v>
      </c>
      <c r="H63" s="12">
        <f>+F63-G63</f>
        <v>22049088.969999999</v>
      </c>
      <c r="I63" s="13"/>
      <c r="J63" s="12"/>
      <c r="K63" s="12"/>
      <c r="L63" s="12">
        <f>+J63-K63</f>
        <v>0</v>
      </c>
      <c r="M63" s="12"/>
      <c r="N63" s="12"/>
      <c r="O63" s="12"/>
      <c r="P63" s="12">
        <f>+N63-O63</f>
        <v>0</v>
      </c>
      <c r="Q63" s="13"/>
      <c r="R63" s="12">
        <f t="shared" si="25"/>
        <v>31940924</v>
      </c>
      <c r="S63" s="12">
        <f t="shared" si="25"/>
        <v>9891835.0299999993</v>
      </c>
      <c r="T63" s="14">
        <f>+R63-S63</f>
        <v>22049088.969999999</v>
      </c>
      <c r="U63" s="17">
        <f t="shared" si="7"/>
        <v>0.3096915740446331</v>
      </c>
    </row>
    <row r="64" spans="2:25" ht="30" customHeight="1">
      <c r="B64" s="18"/>
      <c r="C64" s="10"/>
      <c r="D64" s="10"/>
      <c r="E64" s="22" t="s">
        <v>62</v>
      </c>
      <c r="F64" s="12">
        <v>24948316</v>
      </c>
      <c r="G64" s="12">
        <v>18668155.27</v>
      </c>
      <c r="H64" s="12">
        <f>+F64-G64</f>
        <v>6280160.7300000004</v>
      </c>
      <c r="I64" s="13"/>
      <c r="J64" s="12">
        <v>2612390</v>
      </c>
      <c r="K64" s="12">
        <v>2612390</v>
      </c>
      <c r="L64" s="12">
        <f>+J64-K64</f>
        <v>0</v>
      </c>
      <c r="M64" s="12"/>
      <c r="N64" s="12"/>
      <c r="O64" s="12"/>
      <c r="P64" s="12">
        <f>+N64-O64</f>
        <v>0</v>
      </c>
      <c r="Q64" s="13"/>
      <c r="R64" s="12">
        <f t="shared" si="25"/>
        <v>27560706</v>
      </c>
      <c r="S64" s="12">
        <f t="shared" si="25"/>
        <v>21280545.27</v>
      </c>
      <c r="T64" s="14">
        <f>+R64-S64</f>
        <v>6280160.7300000004</v>
      </c>
      <c r="U64" s="17">
        <f t="shared" si="7"/>
        <v>0.77213353206554292</v>
      </c>
      <c r="V64" s="2" t="s">
        <v>292</v>
      </c>
      <c r="W64" s="13"/>
      <c r="Y64" s="13"/>
    </row>
    <row r="65" spans="2:22" ht="30" customHeight="1">
      <c r="B65" s="18"/>
      <c r="C65" s="10"/>
      <c r="D65" s="10"/>
      <c r="E65" s="21" t="s">
        <v>63</v>
      </c>
      <c r="F65" s="12">
        <v>17400780</v>
      </c>
      <c r="G65" s="12">
        <v>10664728.49</v>
      </c>
      <c r="H65" s="12">
        <f>+F65-G65</f>
        <v>6736051.5099999998</v>
      </c>
      <c r="I65" s="13"/>
      <c r="J65" s="12"/>
      <c r="K65" s="12"/>
      <c r="L65" s="12">
        <f>+J65-K65</f>
        <v>0</v>
      </c>
      <c r="M65" s="12"/>
      <c r="N65" s="12"/>
      <c r="O65" s="12"/>
      <c r="P65" s="12">
        <f>+N65-O65</f>
        <v>0</v>
      </c>
      <c r="Q65" s="13"/>
      <c r="R65" s="12">
        <f t="shared" si="25"/>
        <v>17400780</v>
      </c>
      <c r="S65" s="12">
        <f t="shared" si="25"/>
        <v>10664728.49</v>
      </c>
      <c r="T65" s="14">
        <f>+R65-S65</f>
        <v>6736051.5099999998</v>
      </c>
      <c r="U65" s="17">
        <f t="shared" si="7"/>
        <v>0.6128879561720797</v>
      </c>
      <c r="V65" s="2" t="s">
        <v>292</v>
      </c>
    </row>
    <row r="66" spans="2:22" ht="24.95" customHeight="1">
      <c r="B66" s="18"/>
      <c r="C66" s="10"/>
      <c r="D66" s="10"/>
      <c r="E66" s="21"/>
      <c r="F66" s="12"/>
      <c r="G66" s="12"/>
      <c r="H66" s="12"/>
      <c r="I66" s="13"/>
      <c r="J66" s="12"/>
      <c r="K66" s="12"/>
      <c r="L66" s="12"/>
      <c r="M66" s="12"/>
      <c r="N66" s="12"/>
      <c r="O66" s="12"/>
      <c r="P66" s="12"/>
      <c r="Q66" s="13"/>
      <c r="R66" s="12"/>
      <c r="S66" s="12"/>
      <c r="T66" s="14"/>
      <c r="U66" s="17"/>
    </row>
    <row r="67" spans="2:22" ht="24.95" customHeight="1">
      <c r="B67" s="18"/>
      <c r="C67" s="20" t="s">
        <v>64</v>
      </c>
      <c r="D67" s="20"/>
      <c r="E67" s="10"/>
      <c r="F67" s="12"/>
      <c r="G67" s="12"/>
      <c r="H67" s="12"/>
      <c r="I67" s="13"/>
      <c r="J67" s="12"/>
      <c r="K67" s="12"/>
      <c r="L67" s="12"/>
      <c r="M67" s="12"/>
      <c r="N67" s="12"/>
      <c r="O67" s="12"/>
      <c r="P67" s="12"/>
      <c r="Q67" s="13"/>
      <c r="R67" s="12"/>
      <c r="S67" s="12"/>
      <c r="T67" s="14"/>
      <c r="U67" s="17"/>
    </row>
    <row r="68" spans="2:22" ht="24.95" customHeight="1">
      <c r="B68" s="18"/>
      <c r="C68" s="20"/>
      <c r="D68" s="20"/>
      <c r="E68" s="10" t="s">
        <v>65</v>
      </c>
      <c r="F68" s="12">
        <v>12549000</v>
      </c>
      <c r="G68" s="12">
        <v>10618044.02</v>
      </c>
      <c r="H68" s="12">
        <f>+F68-G68</f>
        <v>1930955.9800000004</v>
      </c>
      <c r="I68" s="13"/>
      <c r="J68" s="12">
        <v>20000000</v>
      </c>
      <c r="K68" s="12">
        <v>8873961.3100000005</v>
      </c>
      <c r="L68" s="12">
        <f>+J68-K68</f>
        <v>11126038.689999999</v>
      </c>
      <c r="M68" s="12"/>
      <c r="N68" s="12">
        <v>340474</v>
      </c>
      <c r="O68" s="12">
        <v>340474</v>
      </c>
      <c r="P68" s="12">
        <f>+N68-O68</f>
        <v>0</v>
      </c>
      <c r="Q68" s="13"/>
      <c r="R68" s="12">
        <f t="shared" ref="R68:S72" si="26">+F68+J68+N68</f>
        <v>32889474</v>
      </c>
      <c r="S68" s="12">
        <f t="shared" si="26"/>
        <v>19832479.329999998</v>
      </c>
      <c r="T68" s="14">
        <f>+R68-S68</f>
        <v>13056994.670000002</v>
      </c>
      <c r="U68" s="17">
        <f t="shared" si="7"/>
        <v>0.60300384645859639</v>
      </c>
    </row>
    <row r="69" spans="2:22" ht="30.75" customHeight="1">
      <c r="B69" s="18"/>
      <c r="C69" s="10"/>
      <c r="D69" s="10"/>
      <c r="E69" s="21" t="s">
        <v>66</v>
      </c>
      <c r="F69" s="12">
        <v>72882000</v>
      </c>
      <c r="G69" s="12">
        <v>20005955.719999999</v>
      </c>
      <c r="H69" s="12">
        <f>+F69-G69</f>
        <v>52876044.280000001</v>
      </c>
      <c r="I69" s="13"/>
      <c r="J69" s="12"/>
      <c r="K69" s="12"/>
      <c r="L69" s="12">
        <f>+J69-K69</f>
        <v>0</v>
      </c>
      <c r="M69" s="12"/>
      <c r="N69" s="12"/>
      <c r="O69" s="12"/>
      <c r="P69" s="12">
        <f>+N69-O69</f>
        <v>0</v>
      </c>
      <c r="Q69" s="13"/>
      <c r="R69" s="12">
        <f t="shared" si="26"/>
        <v>72882000</v>
      </c>
      <c r="S69" s="12">
        <f t="shared" si="26"/>
        <v>20005955.719999999</v>
      </c>
      <c r="T69" s="14">
        <f>+R69-S69</f>
        <v>52876044.280000001</v>
      </c>
      <c r="U69" s="17">
        <f t="shared" si="7"/>
        <v>0.27449789687439968</v>
      </c>
    </row>
    <row r="70" spans="2:22" ht="30.75" customHeight="1">
      <c r="B70" s="18"/>
      <c r="C70" s="10"/>
      <c r="D70" s="10"/>
      <c r="E70" s="21" t="s">
        <v>67</v>
      </c>
      <c r="F70" s="12">
        <v>10552000</v>
      </c>
      <c r="G70" s="12">
        <v>8257461.7999999998</v>
      </c>
      <c r="H70" s="12">
        <f>+F70-G70</f>
        <v>2294538.2000000002</v>
      </c>
      <c r="I70" s="13"/>
      <c r="J70" s="12"/>
      <c r="K70" s="12"/>
      <c r="L70" s="12">
        <f>+J70-K70</f>
        <v>0</v>
      </c>
      <c r="M70" s="12"/>
      <c r="N70" s="12"/>
      <c r="O70" s="12"/>
      <c r="P70" s="12">
        <f>+N70-O70</f>
        <v>0</v>
      </c>
      <c r="Q70" s="13"/>
      <c r="R70" s="12">
        <f t="shared" si="26"/>
        <v>10552000</v>
      </c>
      <c r="S70" s="12">
        <f t="shared" si="26"/>
        <v>8257461.7999999998</v>
      </c>
      <c r="T70" s="14">
        <f>+R70-S70</f>
        <v>2294538.2000000002</v>
      </c>
      <c r="U70" s="17">
        <f t="shared" si="7"/>
        <v>0.78254945034116752</v>
      </c>
    </row>
    <row r="71" spans="2:22" ht="30.75" customHeight="1">
      <c r="B71" s="18"/>
      <c r="C71" s="10"/>
      <c r="D71" s="10"/>
      <c r="E71" s="22" t="s">
        <v>68</v>
      </c>
      <c r="F71" s="12">
        <v>20965000</v>
      </c>
      <c r="G71" s="12">
        <v>14481604.880000001</v>
      </c>
      <c r="H71" s="12">
        <f>+F71-G71</f>
        <v>6483395.1199999992</v>
      </c>
      <c r="I71" s="13"/>
      <c r="J71" s="12">
        <v>200000</v>
      </c>
      <c r="K71" s="12">
        <v>188110.98</v>
      </c>
      <c r="L71" s="12">
        <f>+J71-K71</f>
        <v>11889.01999999999</v>
      </c>
      <c r="M71" s="12"/>
      <c r="N71" s="12"/>
      <c r="O71" s="12"/>
      <c r="P71" s="12">
        <f>+N71-O71</f>
        <v>0</v>
      </c>
      <c r="Q71" s="13"/>
      <c r="R71" s="12">
        <f t="shared" si="26"/>
        <v>21165000</v>
      </c>
      <c r="S71" s="12">
        <f t="shared" si="26"/>
        <v>14669715.860000001</v>
      </c>
      <c r="T71" s="14">
        <f>+R71-S71</f>
        <v>6495284.1399999987</v>
      </c>
      <c r="U71" s="17">
        <f t="shared" si="7"/>
        <v>0.69311201795416966</v>
      </c>
    </row>
    <row r="72" spans="2:22" ht="24.95" customHeight="1">
      <c r="B72" s="18"/>
      <c r="C72" s="10"/>
      <c r="D72" s="10"/>
      <c r="E72" s="41" t="s">
        <v>69</v>
      </c>
      <c r="F72" s="12">
        <v>4783000</v>
      </c>
      <c r="G72" s="12">
        <v>2232272.66</v>
      </c>
      <c r="H72" s="12">
        <f>+F72-G72</f>
        <v>2550727.34</v>
      </c>
      <c r="I72" s="13"/>
      <c r="J72" s="12"/>
      <c r="K72" s="12"/>
      <c r="L72" s="12">
        <f>+J72-K72</f>
        <v>0</v>
      </c>
      <c r="M72" s="12"/>
      <c r="N72" s="12">
        <v>3563000</v>
      </c>
      <c r="O72" s="12"/>
      <c r="P72" s="12">
        <f>+N72-O72</f>
        <v>3563000</v>
      </c>
      <c r="Q72" s="13"/>
      <c r="R72" s="12">
        <f t="shared" si="26"/>
        <v>8346000</v>
      </c>
      <c r="S72" s="12">
        <f t="shared" si="26"/>
        <v>2232272.66</v>
      </c>
      <c r="T72" s="14">
        <f>+R72-S72</f>
        <v>6113727.3399999999</v>
      </c>
      <c r="U72" s="17">
        <f t="shared" si="7"/>
        <v>0.26746617062065664</v>
      </c>
    </row>
    <row r="73" spans="2:22" ht="24.95" customHeight="1">
      <c r="B73" s="18"/>
      <c r="C73" s="10"/>
      <c r="D73" s="10"/>
      <c r="E73" s="41"/>
      <c r="F73" s="12"/>
      <c r="G73" s="12"/>
      <c r="H73" s="12"/>
      <c r="I73" s="13"/>
      <c r="J73" s="12"/>
      <c r="K73" s="12"/>
      <c r="L73" s="12"/>
      <c r="M73" s="12"/>
      <c r="N73" s="12"/>
      <c r="O73" s="12"/>
      <c r="P73" s="12"/>
      <c r="Q73" s="13"/>
      <c r="R73" s="12"/>
      <c r="S73" s="12"/>
      <c r="T73" s="14"/>
      <c r="U73" s="17"/>
    </row>
    <row r="74" spans="2:22" ht="24.95" customHeight="1">
      <c r="B74" s="18"/>
      <c r="C74" s="20" t="s">
        <v>70</v>
      </c>
      <c r="D74" s="20"/>
      <c r="E74" s="10"/>
      <c r="F74" s="12"/>
      <c r="G74" s="12"/>
      <c r="H74" s="12"/>
      <c r="I74" s="13"/>
      <c r="J74" s="12"/>
      <c r="K74" s="12"/>
      <c r="L74" s="12"/>
      <c r="M74" s="12"/>
      <c r="N74" s="12"/>
      <c r="O74" s="12"/>
      <c r="P74" s="12"/>
      <c r="Q74" s="13"/>
      <c r="R74" s="12"/>
      <c r="S74" s="12"/>
      <c r="T74" s="14"/>
      <c r="U74" s="17"/>
    </row>
    <row r="75" spans="2:22" ht="24.95" customHeight="1">
      <c r="B75" s="18"/>
      <c r="C75" s="20"/>
      <c r="D75" s="20"/>
      <c r="E75" s="10" t="s">
        <v>71</v>
      </c>
      <c r="F75" s="12">
        <v>213762000</v>
      </c>
      <c r="G75" s="12">
        <v>150879150.59</v>
      </c>
      <c r="H75" s="12">
        <f t="shared" ref="H75:H80" si="27">+F75-G75</f>
        <v>62882849.409999996</v>
      </c>
      <c r="I75" s="13"/>
      <c r="J75" s="12"/>
      <c r="K75" s="12"/>
      <c r="L75" s="12">
        <f t="shared" ref="L75:L80" si="28">+J75-K75</f>
        <v>0</v>
      </c>
      <c r="M75" s="12"/>
      <c r="N75" s="12"/>
      <c r="O75" s="12"/>
      <c r="P75" s="12">
        <f t="shared" ref="P75:P80" si="29">+N75-O75</f>
        <v>0</v>
      </c>
      <c r="Q75" s="13"/>
      <c r="R75" s="12">
        <f t="shared" ref="R75:S80" si="30">+F75+J75+N75</f>
        <v>213762000</v>
      </c>
      <c r="S75" s="12">
        <f t="shared" si="30"/>
        <v>150879150.59</v>
      </c>
      <c r="T75" s="14">
        <f t="shared" ref="T75:T80" si="31">+R75-S75</f>
        <v>62882849.409999996</v>
      </c>
      <c r="U75" s="17">
        <f t="shared" ref="U75:U137" si="32">+S75/R75</f>
        <v>0.70582774576398055</v>
      </c>
    </row>
    <row r="76" spans="2:22" ht="28.5" customHeight="1">
      <c r="B76" s="18"/>
      <c r="C76" s="10"/>
      <c r="D76" s="10"/>
      <c r="E76" s="21" t="s">
        <v>72</v>
      </c>
      <c r="F76" s="12">
        <v>24007083</v>
      </c>
      <c r="G76" s="12">
        <v>20430945.449999999</v>
      </c>
      <c r="H76" s="12">
        <f t="shared" si="27"/>
        <v>3576137.5500000007</v>
      </c>
      <c r="I76" s="13"/>
      <c r="J76" s="12"/>
      <c r="K76" s="12"/>
      <c r="L76" s="12">
        <f t="shared" si="28"/>
        <v>0</v>
      </c>
      <c r="M76" s="12"/>
      <c r="N76" s="12"/>
      <c r="O76" s="12"/>
      <c r="P76" s="12">
        <f t="shared" si="29"/>
        <v>0</v>
      </c>
      <c r="Q76" s="13"/>
      <c r="R76" s="12">
        <f t="shared" si="30"/>
        <v>24007083</v>
      </c>
      <c r="S76" s="12">
        <f t="shared" si="30"/>
        <v>20430945.449999999</v>
      </c>
      <c r="T76" s="14">
        <f t="shared" si="31"/>
        <v>3576137.5500000007</v>
      </c>
      <c r="U76" s="17">
        <f t="shared" si="32"/>
        <v>0.8510382310920489</v>
      </c>
    </row>
    <row r="77" spans="2:22" ht="28.5" customHeight="1">
      <c r="B77" s="18"/>
      <c r="C77" s="10"/>
      <c r="D77" s="10"/>
      <c r="E77" s="21" t="s">
        <v>73</v>
      </c>
      <c r="F77" s="12">
        <v>9286000</v>
      </c>
      <c r="G77" s="12">
        <v>1287599.79</v>
      </c>
      <c r="H77" s="12">
        <f t="shared" si="27"/>
        <v>7998400.21</v>
      </c>
      <c r="I77" s="13"/>
      <c r="J77" s="12"/>
      <c r="K77" s="12"/>
      <c r="L77" s="12">
        <f t="shared" si="28"/>
        <v>0</v>
      </c>
      <c r="M77" s="12"/>
      <c r="N77" s="12"/>
      <c r="O77" s="12"/>
      <c r="P77" s="12">
        <f t="shared" si="29"/>
        <v>0</v>
      </c>
      <c r="Q77" s="13"/>
      <c r="R77" s="12">
        <f t="shared" si="30"/>
        <v>9286000</v>
      </c>
      <c r="S77" s="12">
        <f t="shared" si="30"/>
        <v>1287599.79</v>
      </c>
      <c r="T77" s="14">
        <f t="shared" si="31"/>
        <v>7998400.21</v>
      </c>
      <c r="U77" s="17">
        <f t="shared" si="32"/>
        <v>0.13866032629765238</v>
      </c>
    </row>
    <row r="78" spans="2:22" ht="28.5" customHeight="1">
      <c r="B78" s="18"/>
      <c r="C78" s="10"/>
      <c r="D78" s="10"/>
      <c r="E78" s="21" t="s">
        <v>74</v>
      </c>
      <c r="F78" s="12">
        <v>67484359</v>
      </c>
      <c r="G78" s="12">
        <v>38580880.860000007</v>
      </c>
      <c r="H78" s="12">
        <f t="shared" si="27"/>
        <v>28903478.139999993</v>
      </c>
      <c r="I78" s="13"/>
      <c r="J78" s="12"/>
      <c r="K78" s="12"/>
      <c r="L78" s="12">
        <f t="shared" si="28"/>
        <v>0</v>
      </c>
      <c r="M78" s="12"/>
      <c r="N78" s="12"/>
      <c r="O78" s="12"/>
      <c r="P78" s="12">
        <f t="shared" si="29"/>
        <v>0</v>
      </c>
      <c r="Q78" s="13"/>
      <c r="R78" s="12">
        <f t="shared" si="30"/>
        <v>67484359</v>
      </c>
      <c r="S78" s="12">
        <f t="shared" si="30"/>
        <v>38580880.860000007</v>
      </c>
      <c r="T78" s="14">
        <f t="shared" si="31"/>
        <v>28903478.139999993</v>
      </c>
      <c r="U78" s="17">
        <f t="shared" si="32"/>
        <v>0.57170107906040879</v>
      </c>
    </row>
    <row r="79" spans="2:22" ht="24.95" customHeight="1">
      <c r="B79" s="18"/>
      <c r="C79" s="10"/>
      <c r="D79" s="10"/>
      <c r="E79" s="28" t="s">
        <v>75</v>
      </c>
      <c r="F79" s="12">
        <v>6820000</v>
      </c>
      <c r="G79" s="12">
        <v>4575776.47</v>
      </c>
      <c r="H79" s="12">
        <f t="shared" si="27"/>
        <v>2244223.5300000003</v>
      </c>
      <c r="I79" s="13"/>
      <c r="J79" s="12"/>
      <c r="K79" s="12"/>
      <c r="L79" s="12">
        <f t="shared" si="28"/>
        <v>0</v>
      </c>
      <c r="M79" s="12"/>
      <c r="N79" s="12"/>
      <c r="O79" s="12"/>
      <c r="P79" s="12">
        <f t="shared" si="29"/>
        <v>0</v>
      </c>
      <c r="Q79" s="13"/>
      <c r="R79" s="12">
        <f t="shared" si="30"/>
        <v>6820000</v>
      </c>
      <c r="S79" s="12">
        <f t="shared" si="30"/>
        <v>4575776.47</v>
      </c>
      <c r="T79" s="14">
        <f t="shared" si="31"/>
        <v>2244223.5300000003</v>
      </c>
      <c r="U79" s="17">
        <f t="shared" si="32"/>
        <v>0.67093496627565974</v>
      </c>
    </row>
    <row r="80" spans="2:22" ht="24.95" customHeight="1">
      <c r="B80" s="18"/>
      <c r="C80" s="10"/>
      <c r="D80" s="10"/>
      <c r="E80" s="22" t="s">
        <v>76</v>
      </c>
      <c r="F80" s="12">
        <v>36220000</v>
      </c>
      <c r="G80" s="12">
        <v>9351772.0799999982</v>
      </c>
      <c r="H80" s="12">
        <f t="shared" si="27"/>
        <v>26868227.920000002</v>
      </c>
      <c r="I80" s="13"/>
      <c r="J80" s="12"/>
      <c r="K80" s="12"/>
      <c r="L80" s="12">
        <f t="shared" si="28"/>
        <v>0</v>
      </c>
      <c r="M80" s="12"/>
      <c r="N80" s="12"/>
      <c r="O80" s="12"/>
      <c r="P80" s="12">
        <f t="shared" si="29"/>
        <v>0</v>
      </c>
      <c r="Q80" s="13"/>
      <c r="R80" s="12">
        <f t="shared" si="30"/>
        <v>36220000</v>
      </c>
      <c r="S80" s="12">
        <f t="shared" si="30"/>
        <v>9351772.0799999982</v>
      </c>
      <c r="T80" s="14">
        <f t="shared" si="31"/>
        <v>26868227.920000002</v>
      </c>
      <c r="U80" s="17">
        <f t="shared" si="32"/>
        <v>0.25819359690778571</v>
      </c>
    </row>
    <row r="81" spans="2:21" ht="27.75" customHeight="1">
      <c r="B81" s="18"/>
      <c r="C81" s="10"/>
      <c r="D81" s="10"/>
      <c r="E81" s="31" t="s">
        <v>51</v>
      </c>
      <c r="F81" s="32">
        <f>SUM(F55:F80)</f>
        <v>799197105</v>
      </c>
      <c r="G81" s="32">
        <f t="shared" ref="G81:S81" si="33">SUM(G55:G80)</f>
        <v>423454377.39000005</v>
      </c>
      <c r="H81" s="32">
        <f t="shared" si="33"/>
        <v>375742727.60999995</v>
      </c>
      <c r="I81" s="32">
        <f t="shared" si="33"/>
        <v>0</v>
      </c>
      <c r="J81" s="32">
        <f>SUM(J55:J80)</f>
        <v>58553319.259999998</v>
      </c>
      <c r="K81" s="32">
        <f t="shared" ref="K81" si="34">SUM(K55:K80)</f>
        <v>22792667.809999999</v>
      </c>
      <c r="L81" s="32">
        <f>SUM(L55:L80)</f>
        <v>35760651.450000003</v>
      </c>
      <c r="M81" s="32">
        <f t="shared" si="33"/>
        <v>0</v>
      </c>
      <c r="N81" s="32">
        <f>SUM(N55:N80)</f>
        <v>12302252</v>
      </c>
      <c r="O81" s="32">
        <f t="shared" ref="O81" si="35">SUM(O55:O80)</f>
        <v>6886959.6900000004</v>
      </c>
      <c r="P81" s="32">
        <f>SUM(P55:P80)</f>
        <v>5415292.3099999996</v>
      </c>
      <c r="Q81" s="32">
        <f t="shared" si="33"/>
        <v>0</v>
      </c>
      <c r="R81" s="32">
        <f t="shared" si="33"/>
        <v>870052676.25999999</v>
      </c>
      <c r="S81" s="32">
        <f t="shared" si="33"/>
        <v>453134004.89000005</v>
      </c>
      <c r="T81" s="34">
        <f>SUM(T55:T80)</f>
        <v>416918671.36999983</v>
      </c>
      <c r="U81" s="17">
        <f t="shared" si="32"/>
        <v>0.52081214994687164</v>
      </c>
    </row>
    <row r="82" spans="2:21" ht="24.95" customHeight="1">
      <c r="B82" s="18"/>
      <c r="C82" s="10"/>
      <c r="D82" s="10"/>
      <c r="E82" s="22"/>
      <c r="F82" s="12"/>
      <c r="G82" s="12"/>
      <c r="H82" s="12"/>
      <c r="I82" s="13"/>
      <c r="J82" s="12"/>
      <c r="K82" s="12"/>
      <c r="L82" s="12"/>
      <c r="M82" s="12"/>
      <c r="N82" s="12"/>
      <c r="O82" s="12"/>
      <c r="P82" s="12"/>
      <c r="Q82" s="13"/>
      <c r="R82" s="12"/>
      <c r="S82" s="12"/>
      <c r="T82" s="14"/>
      <c r="U82" s="17"/>
    </row>
    <row r="83" spans="2:21" ht="24.95" customHeight="1">
      <c r="B83" s="18"/>
      <c r="C83" s="24" t="s">
        <v>77</v>
      </c>
      <c r="D83" s="10"/>
      <c r="E83" s="22"/>
      <c r="F83" s="12">
        <f>SUM(F85:F103)</f>
        <v>292485476</v>
      </c>
      <c r="G83" s="12">
        <f t="shared" ref="G83:T83" si="36">SUM(G85:G103)</f>
        <v>191552116.52000001</v>
      </c>
      <c r="H83" s="12">
        <f t="shared" si="36"/>
        <v>100933359.47999999</v>
      </c>
      <c r="I83" s="12">
        <f t="shared" si="36"/>
        <v>0</v>
      </c>
      <c r="J83" s="12">
        <f>SUM(J85:J103)</f>
        <v>117651530</v>
      </c>
      <c r="K83" s="12">
        <f t="shared" ref="K83" si="37">SUM(K85:K103)</f>
        <v>69280966.629999995</v>
      </c>
      <c r="L83" s="12">
        <f>SUM(L85:L103)</f>
        <v>151874991.66999999</v>
      </c>
      <c r="M83" s="12">
        <f t="shared" si="36"/>
        <v>0</v>
      </c>
      <c r="N83" s="12">
        <f>SUM(N85:N103)</f>
        <v>1022045.79</v>
      </c>
      <c r="O83" s="12">
        <f t="shared" ref="O83" si="38">SUM(O85:O103)</f>
        <v>6167944.1600000001</v>
      </c>
      <c r="P83" s="12">
        <f>SUM(P85:P103)</f>
        <v>-5145898.37</v>
      </c>
      <c r="Q83" s="12">
        <f t="shared" si="36"/>
        <v>0</v>
      </c>
      <c r="R83" s="12">
        <f t="shared" si="36"/>
        <v>411159051.78999996</v>
      </c>
      <c r="S83" s="12">
        <f t="shared" si="36"/>
        <v>267001027.31</v>
      </c>
      <c r="T83" s="14">
        <f t="shared" si="36"/>
        <v>144158024.48000002</v>
      </c>
      <c r="U83" s="17">
        <f>+S83/R83</f>
        <v>0.64938623179423793</v>
      </c>
    </row>
    <row r="84" spans="2:21" ht="24.95" customHeight="1">
      <c r="B84" s="18"/>
      <c r="C84" s="20" t="s">
        <v>78</v>
      </c>
      <c r="D84" s="20"/>
      <c r="E84" s="10"/>
      <c r="F84" s="12"/>
      <c r="G84" s="12"/>
      <c r="H84" s="12">
        <f t="shared" ref="H84:H89" si="39">+F84-G84</f>
        <v>0</v>
      </c>
      <c r="I84" s="13"/>
      <c r="J84" s="12"/>
      <c r="K84" s="12"/>
      <c r="L84" s="12">
        <f t="shared" ref="L84:L89" si="40">+J84-K84</f>
        <v>0</v>
      </c>
      <c r="M84" s="12"/>
      <c r="N84" s="12"/>
      <c r="O84" s="12"/>
      <c r="P84" s="12">
        <f t="shared" ref="P84:P89" si="41">+N84-O84</f>
        <v>0</v>
      </c>
      <c r="Q84" s="13"/>
      <c r="R84" s="12"/>
      <c r="S84" s="12"/>
      <c r="T84" s="14"/>
      <c r="U84" s="17"/>
    </row>
    <row r="85" spans="2:21" ht="24.95" customHeight="1">
      <c r="B85" s="18"/>
      <c r="C85" s="20"/>
      <c r="D85" s="20"/>
      <c r="E85" s="10" t="s">
        <v>79</v>
      </c>
      <c r="F85" s="42">
        <v>64736000</v>
      </c>
      <c r="G85" s="12">
        <v>7738873.6799999997</v>
      </c>
      <c r="H85" s="12">
        <f t="shared" si="39"/>
        <v>56997126.32</v>
      </c>
      <c r="I85" s="13"/>
      <c r="J85" s="42"/>
      <c r="K85" s="12"/>
      <c r="L85" s="12">
        <f t="shared" si="40"/>
        <v>0</v>
      </c>
      <c r="M85" s="12"/>
      <c r="N85" s="42"/>
      <c r="O85" s="12">
        <v>5145898.37</v>
      </c>
      <c r="P85" s="12">
        <f t="shared" si="41"/>
        <v>-5145898.37</v>
      </c>
      <c r="Q85" s="13"/>
      <c r="R85" s="12">
        <f t="shared" ref="R85:S89" si="42">+F85+J85+N85</f>
        <v>64736000</v>
      </c>
      <c r="S85" s="12">
        <f t="shared" si="42"/>
        <v>12884772.050000001</v>
      </c>
      <c r="T85" s="14">
        <f>+R85-S85</f>
        <v>51851227.950000003</v>
      </c>
      <c r="U85" s="17">
        <f t="shared" si="32"/>
        <v>0.19903565326866041</v>
      </c>
    </row>
    <row r="86" spans="2:21" ht="27" customHeight="1">
      <c r="B86" s="18"/>
      <c r="C86" s="10"/>
      <c r="D86" s="10"/>
      <c r="E86" s="22" t="s">
        <v>80</v>
      </c>
      <c r="F86" s="12">
        <v>51309000</v>
      </c>
      <c r="G86" s="12">
        <v>33549201.050000001</v>
      </c>
      <c r="H86" s="12">
        <f t="shared" si="39"/>
        <v>17759798.949999999</v>
      </c>
      <c r="I86" s="13"/>
      <c r="J86" s="12"/>
      <c r="K86" s="12"/>
      <c r="L86" s="12">
        <f t="shared" si="40"/>
        <v>0</v>
      </c>
      <c r="M86" s="12"/>
      <c r="N86" s="12"/>
      <c r="O86" s="12"/>
      <c r="P86" s="12">
        <f t="shared" si="41"/>
        <v>0</v>
      </c>
      <c r="Q86" s="13"/>
      <c r="R86" s="12">
        <f t="shared" si="42"/>
        <v>51309000</v>
      </c>
      <c r="S86" s="12">
        <f t="shared" si="42"/>
        <v>33549201.050000001</v>
      </c>
      <c r="T86" s="14">
        <f>+R86-S86</f>
        <v>17759798.949999999</v>
      </c>
      <c r="U86" s="17">
        <f t="shared" si="32"/>
        <v>0.65386581398974841</v>
      </c>
    </row>
    <row r="87" spans="2:21" ht="27" customHeight="1">
      <c r="B87" s="18"/>
      <c r="C87" s="10"/>
      <c r="D87" s="10"/>
      <c r="E87" s="22" t="s">
        <v>81</v>
      </c>
      <c r="F87" s="12">
        <v>44560000</v>
      </c>
      <c r="G87" s="12">
        <v>27426812.699999999</v>
      </c>
      <c r="H87" s="12">
        <f t="shared" si="39"/>
        <v>17133187.300000001</v>
      </c>
      <c r="I87" s="13"/>
      <c r="J87" s="12"/>
      <c r="K87" s="12"/>
      <c r="L87" s="12">
        <f t="shared" si="40"/>
        <v>0</v>
      </c>
      <c r="M87" s="12"/>
      <c r="N87" s="12">
        <v>1022045.79</v>
      </c>
      <c r="O87" s="12">
        <v>1022045.79</v>
      </c>
      <c r="P87" s="12">
        <f t="shared" si="41"/>
        <v>0</v>
      </c>
      <c r="Q87" s="13"/>
      <c r="R87" s="12">
        <f t="shared" si="42"/>
        <v>45582045.789999999</v>
      </c>
      <c r="S87" s="12">
        <f t="shared" si="42"/>
        <v>28448858.489999998</v>
      </c>
      <c r="T87" s="14">
        <f>+R87-S87</f>
        <v>17133187.300000001</v>
      </c>
      <c r="U87" s="17">
        <f t="shared" si="32"/>
        <v>0.62412421375438221</v>
      </c>
    </row>
    <row r="88" spans="2:21" ht="27" customHeight="1">
      <c r="B88" s="18"/>
      <c r="C88" s="10"/>
      <c r="D88" s="10"/>
      <c r="E88" s="22" t="s">
        <v>82</v>
      </c>
      <c r="F88" s="12">
        <v>6672441</v>
      </c>
      <c r="G88" s="12">
        <v>4055368.68</v>
      </c>
      <c r="H88" s="12">
        <f t="shared" si="39"/>
        <v>2617072.3199999998</v>
      </c>
      <c r="I88" s="13"/>
      <c r="J88" s="12"/>
      <c r="K88" s="12"/>
      <c r="L88" s="12">
        <f t="shared" si="40"/>
        <v>0</v>
      </c>
      <c r="M88" s="12"/>
      <c r="N88" s="12"/>
      <c r="O88" s="12"/>
      <c r="P88" s="12">
        <f t="shared" si="41"/>
        <v>0</v>
      </c>
      <c r="Q88" s="13"/>
      <c r="R88" s="12">
        <f t="shared" si="42"/>
        <v>6672441</v>
      </c>
      <c r="S88" s="12">
        <f t="shared" si="42"/>
        <v>4055368.68</v>
      </c>
      <c r="T88" s="14">
        <f>+R88-S88</f>
        <v>2617072.3199999998</v>
      </c>
      <c r="U88" s="17">
        <f t="shared" si="32"/>
        <v>0.60777887432800082</v>
      </c>
    </row>
    <row r="89" spans="2:21" ht="27" customHeight="1">
      <c r="B89" s="18"/>
      <c r="C89" s="10"/>
      <c r="D89" s="10"/>
      <c r="E89" s="22" t="s">
        <v>83</v>
      </c>
      <c r="F89" s="12">
        <v>2145035</v>
      </c>
      <c r="G89" s="12">
        <v>1012730.77</v>
      </c>
      <c r="H89" s="12">
        <f t="shared" si="39"/>
        <v>1132304.23</v>
      </c>
      <c r="I89" s="13"/>
      <c r="J89" s="12"/>
      <c r="K89" s="12"/>
      <c r="L89" s="12">
        <f t="shared" si="40"/>
        <v>0</v>
      </c>
      <c r="M89" s="12"/>
      <c r="N89" s="12"/>
      <c r="O89" s="12"/>
      <c r="P89" s="12">
        <f t="shared" si="41"/>
        <v>0</v>
      </c>
      <c r="Q89" s="13"/>
      <c r="R89" s="12">
        <f t="shared" si="42"/>
        <v>2145035</v>
      </c>
      <c r="S89" s="12">
        <f t="shared" si="42"/>
        <v>1012730.77</v>
      </c>
      <c r="T89" s="14">
        <f>+R89-S89</f>
        <v>1132304.23</v>
      </c>
      <c r="U89" s="17">
        <f t="shared" si="32"/>
        <v>0.47212785339166963</v>
      </c>
    </row>
    <row r="90" spans="2:21" ht="24.95" customHeight="1">
      <c r="B90" s="18"/>
      <c r="C90" s="10"/>
      <c r="D90" s="10"/>
      <c r="E90" s="22"/>
      <c r="F90" s="12"/>
      <c r="G90" s="12"/>
      <c r="H90" s="12"/>
      <c r="I90" s="13"/>
      <c r="J90" s="12"/>
      <c r="K90" s="12"/>
      <c r="L90" s="12"/>
      <c r="M90" s="12"/>
      <c r="N90" s="12"/>
      <c r="O90" s="12"/>
      <c r="P90" s="12"/>
      <c r="Q90" s="13"/>
      <c r="R90" s="12"/>
      <c r="S90" s="12"/>
      <c r="T90" s="14"/>
      <c r="U90" s="17"/>
    </row>
    <row r="91" spans="2:21" ht="24.95" customHeight="1">
      <c r="B91" s="18"/>
      <c r="C91" s="20" t="s">
        <v>84</v>
      </c>
      <c r="D91" s="20"/>
      <c r="E91" s="10"/>
      <c r="F91" s="12"/>
      <c r="G91" s="12"/>
      <c r="H91" s="12"/>
      <c r="I91" s="13"/>
      <c r="J91" s="12"/>
      <c r="K91" s="12"/>
      <c r="L91" s="12"/>
      <c r="M91" s="12"/>
      <c r="N91" s="12"/>
      <c r="O91" s="12"/>
      <c r="P91" s="12"/>
      <c r="Q91" s="13"/>
      <c r="R91" s="12"/>
      <c r="S91" s="12"/>
      <c r="T91" s="14"/>
      <c r="U91" s="17"/>
    </row>
    <row r="92" spans="2:21" ht="24.95" customHeight="1">
      <c r="B92" s="18"/>
      <c r="C92" s="20"/>
      <c r="D92" s="20"/>
      <c r="E92" s="10" t="s">
        <v>85</v>
      </c>
      <c r="F92" s="12">
        <v>15093000</v>
      </c>
      <c r="G92" s="12">
        <v>11271832.25</v>
      </c>
      <c r="H92" s="12">
        <f t="shared" ref="H92:H98" si="43">+F92-G92</f>
        <v>3821167.75</v>
      </c>
      <c r="I92" s="13"/>
      <c r="J92" s="12">
        <v>33556530</v>
      </c>
      <c r="K92" s="12">
        <v>33556530</v>
      </c>
      <c r="L92" s="12">
        <f t="shared" ref="L92:L98" si="44">+J92-K92</f>
        <v>0</v>
      </c>
      <c r="M92" s="12"/>
      <c r="N92" s="12"/>
      <c r="O92" s="12"/>
      <c r="P92" s="12">
        <f t="shared" ref="P92:P98" si="45">+N92-O92</f>
        <v>0</v>
      </c>
      <c r="Q92" s="13"/>
      <c r="R92" s="12">
        <f t="shared" ref="R92:S97" si="46">+F92+J92+N92</f>
        <v>48649530</v>
      </c>
      <c r="S92" s="12">
        <f t="shared" si="46"/>
        <v>44828362.25</v>
      </c>
      <c r="T92" s="14">
        <f t="shared" ref="T92:T98" si="47">+R92-S92</f>
        <v>3821167.75</v>
      </c>
      <c r="U92" s="17">
        <f t="shared" si="32"/>
        <v>0.92145519699779221</v>
      </c>
    </row>
    <row r="93" spans="2:21" ht="28.5" customHeight="1">
      <c r="B93" s="18"/>
      <c r="C93" s="10"/>
      <c r="D93" s="10"/>
      <c r="E93" s="22" t="s">
        <v>86</v>
      </c>
      <c r="F93" s="12">
        <v>42648000</v>
      </c>
      <c r="G93" s="12">
        <v>38460764.380000003</v>
      </c>
      <c r="H93" s="12">
        <f t="shared" si="43"/>
        <v>4187235.6199999973</v>
      </c>
      <c r="I93" s="13"/>
      <c r="J93" s="12"/>
      <c r="K93" s="12"/>
      <c r="L93" s="12">
        <f t="shared" si="44"/>
        <v>0</v>
      </c>
      <c r="M93" s="12"/>
      <c r="N93" s="12"/>
      <c r="O93" s="12"/>
      <c r="P93" s="12">
        <f t="shared" si="45"/>
        <v>0</v>
      </c>
      <c r="Q93" s="13"/>
      <c r="R93" s="12">
        <f t="shared" si="46"/>
        <v>42648000</v>
      </c>
      <c r="S93" s="12">
        <f t="shared" si="46"/>
        <v>38460764.380000003</v>
      </c>
      <c r="T93" s="14">
        <f t="shared" si="47"/>
        <v>4187235.6199999973</v>
      </c>
      <c r="U93" s="17">
        <f t="shared" si="32"/>
        <v>0.90181871084224352</v>
      </c>
    </row>
    <row r="94" spans="2:21" ht="28.5" customHeight="1">
      <c r="B94" s="18"/>
      <c r="C94" s="10"/>
      <c r="D94" s="10"/>
      <c r="E94" s="22" t="s">
        <v>87</v>
      </c>
      <c r="F94" s="12">
        <v>14906000</v>
      </c>
      <c r="G94" s="12">
        <v>14905225.710000001</v>
      </c>
      <c r="H94" s="12">
        <f t="shared" si="43"/>
        <v>774.28999999910593</v>
      </c>
      <c r="I94" s="13"/>
      <c r="J94" s="12"/>
      <c r="K94" s="12"/>
      <c r="L94" s="12">
        <f t="shared" si="44"/>
        <v>0</v>
      </c>
      <c r="M94" s="12"/>
      <c r="N94" s="12"/>
      <c r="O94" s="12"/>
      <c r="P94" s="12">
        <f t="shared" si="45"/>
        <v>0</v>
      </c>
      <c r="Q94" s="13"/>
      <c r="R94" s="12">
        <f t="shared" si="46"/>
        <v>14906000</v>
      </c>
      <c r="S94" s="12">
        <f t="shared" si="46"/>
        <v>14905225.710000001</v>
      </c>
      <c r="T94" s="14">
        <f t="shared" si="47"/>
        <v>774.28999999910593</v>
      </c>
      <c r="U94" s="17">
        <f t="shared" si="32"/>
        <v>0.99994805514557905</v>
      </c>
    </row>
    <row r="95" spans="2:21" ht="28.5" customHeight="1">
      <c r="B95" s="18"/>
      <c r="C95" s="10"/>
      <c r="D95" s="10"/>
      <c r="E95" s="22" t="s">
        <v>88</v>
      </c>
      <c r="F95" s="12">
        <v>2471000</v>
      </c>
      <c r="G95" s="12">
        <v>1623667.22</v>
      </c>
      <c r="H95" s="12">
        <f t="shared" si="43"/>
        <v>847332.78</v>
      </c>
      <c r="I95" s="13"/>
      <c r="J95" s="12"/>
      <c r="K95" s="12"/>
      <c r="L95" s="12">
        <f t="shared" si="44"/>
        <v>0</v>
      </c>
      <c r="M95" s="12"/>
      <c r="N95" s="12"/>
      <c r="O95" s="12"/>
      <c r="P95" s="12">
        <f t="shared" si="45"/>
        <v>0</v>
      </c>
      <c r="Q95" s="13"/>
      <c r="R95" s="12">
        <f t="shared" si="46"/>
        <v>2471000</v>
      </c>
      <c r="S95" s="12">
        <f t="shared" si="46"/>
        <v>1623667.22</v>
      </c>
      <c r="T95" s="14">
        <f t="shared" si="47"/>
        <v>847332.78</v>
      </c>
      <c r="U95" s="17">
        <f t="shared" si="32"/>
        <v>0.65708912181303114</v>
      </c>
    </row>
    <row r="96" spans="2:21" ht="24.95" customHeight="1">
      <c r="B96" s="18"/>
      <c r="C96" s="10"/>
      <c r="D96" s="10"/>
      <c r="E96" s="22" t="s">
        <v>89</v>
      </c>
      <c r="F96" s="12">
        <v>2944000</v>
      </c>
      <c r="G96" s="12">
        <v>2865017.25</v>
      </c>
      <c r="H96" s="12">
        <f t="shared" si="43"/>
        <v>78982.75</v>
      </c>
      <c r="I96" s="13"/>
      <c r="J96" s="12"/>
      <c r="K96" s="12"/>
      <c r="L96" s="12">
        <f t="shared" si="44"/>
        <v>0</v>
      </c>
      <c r="M96" s="12"/>
      <c r="N96" s="12"/>
      <c r="O96" s="12"/>
      <c r="P96" s="12">
        <f t="shared" si="45"/>
        <v>0</v>
      </c>
      <c r="Q96" s="13"/>
      <c r="R96" s="12">
        <f t="shared" si="46"/>
        <v>2944000</v>
      </c>
      <c r="S96" s="12">
        <f t="shared" si="46"/>
        <v>2865017.25</v>
      </c>
      <c r="T96" s="14">
        <f t="shared" si="47"/>
        <v>78982.75</v>
      </c>
      <c r="U96" s="17">
        <f t="shared" si="32"/>
        <v>0.97317162024456527</v>
      </c>
    </row>
    <row r="97" spans="2:25" ht="24.95" customHeight="1">
      <c r="B97" s="18"/>
      <c r="C97" s="10"/>
      <c r="D97" s="10"/>
      <c r="E97" s="28" t="s">
        <v>90</v>
      </c>
      <c r="F97" s="12">
        <v>1571000</v>
      </c>
      <c r="G97" s="12">
        <v>1571000</v>
      </c>
      <c r="H97" s="12">
        <f t="shared" si="43"/>
        <v>0</v>
      </c>
      <c r="I97" s="13"/>
      <c r="J97" s="12"/>
      <c r="K97" s="12"/>
      <c r="L97" s="12">
        <f t="shared" si="44"/>
        <v>0</v>
      </c>
      <c r="M97" s="12"/>
      <c r="N97" s="12"/>
      <c r="O97" s="12"/>
      <c r="P97" s="12">
        <f t="shared" si="45"/>
        <v>0</v>
      </c>
      <c r="Q97" s="13"/>
      <c r="R97" s="12">
        <f t="shared" si="46"/>
        <v>1571000</v>
      </c>
      <c r="S97" s="12">
        <f t="shared" si="46"/>
        <v>1571000</v>
      </c>
      <c r="T97" s="14">
        <f t="shared" si="47"/>
        <v>0</v>
      </c>
      <c r="U97" s="17">
        <f t="shared" si="32"/>
        <v>1</v>
      </c>
    </row>
    <row r="98" spans="2:25" ht="28.5" customHeight="1">
      <c r="B98" s="18"/>
      <c r="C98" s="10"/>
      <c r="D98" s="10"/>
      <c r="E98" s="43" t="s">
        <v>91</v>
      </c>
      <c r="F98" s="12">
        <v>11674000</v>
      </c>
      <c r="G98" s="12">
        <v>5902369.3799999999</v>
      </c>
      <c r="H98" s="12">
        <f t="shared" si="43"/>
        <v>5771630.6200000001</v>
      </c>
      <c r="I98" s="13"/>
      <c r="J98" s="12"/>
      <c r="K98" s="12"/>
      <c r="L98" s="12">
        <f t="shared" si="44"/>
        <v>0</v>
      </c>
      <c r="M98" s="12"/>
      <c r="N98" s="12"/>
      <c r="O98" s="12"/>
      <c r="P98" s="12">
        <f t="shared" si="45"/>
        <v>0</v>
      </c>
      <c r="Q98" s="13"/>
      <c r="R98" s="12">
        <f>+F98+J98+N98</f>
        <v>11674000</v>
      </c>
      <c r="S98" s="12">
        <f>+G98+K98+O98</f>
        <v>5902369.3799999999</v>
      </c>
      <c r="T98" s="14">
        <f t="shared" si="47"/>
        <v>5771630.6200000001</v>
      </c>
      <c r="U98" s="17">
        <f t="shared" si="32"/>
        <v>0.50559956998458111</v>
      </c>
    </row>
    <row r="99" spans="2:25" ht="24.95" customHeight="1">
      <c r="B99" s="18"/>
      <c r="C99" s="10"/>
      <c r="D99" s="10"/>
      <c r="E99" s="43"/>
      <c r="F99" s="12"/>
      <c r="G99" s="12"/>
      <c r="H99" s="12"/>
      <c r="I99" s="13"/>
      <c r="J99" s="12"/>
      <c r="K99" s="12"/>
      <c r="L99" s="12"/>
      <c r="M99" s="12"/>
      <c r="N99" s="12"/>
      <c r="O99" s="12"/>
      <c r="P99" s="12"/>
      <c r="Q99" s="13"/>
      <c r="R99" s="12"/>
      <c r="S99" s="12"/>
      <c r="T99" s="14"/>
      <c r="U99" s="17"/>
    </row>
    <row r="100" spans="2:25" ht="24.95" customHeight="1">
      <c r="B100" s="18"/>
      <c r="C100" s="20" t="s">
        <v>92</v>
      </c>
      <c r="D100" s="20"/>
      <c r="E100" s="10"/>
      <c r="F100" s="12"/>
      <c r="G100" s="12"/>
      <c r="H100" s="12"/>
      <c r="I100" s="13"/>
      <c r="J100" s="12"/>
      <c r="K100" s="12"/>
      <c r="L100" s="12">
        <f>+L101+august!L101</f>
        <v>103504428.3</v>
      </c>
      <c r="M100" s="12"/>
      <c r="N100" s="12"/>
      <c r="O100" s="12"/>
      <c r="P100" s="12"/>
      <c r="Q100" s="13"/>
      <c r="R100" s="12"/>
      <c r="S100" s="12"/>
      <c r="T100" s="14"/>
      <c r="U100" s="17"/>
    </row>
    <row r="101" spans="2:25" ht="24.95" customHeight="1">
      <c r="B101" s="18"/>
      <c r="C101" s="20"/>
      <c r="D101" s="20"/>
      <c r="E101" s="10" t="s">
        <v>93</v>
      </c>
      <c r="F101" s="12">
        <v>11880000</v>
      </c>
      <c r="G101" s="12">
        <v>11880000</v>
      </c>
      <c r="H101" s="12">
        <f>+F101-G101</f>
        <v>0</v>
      </c>
      <c r="I101" s="13"/>
      <c r="J101" s="12">
        <v>50000000</v>
      </c>
      <c r="K101" s="12">
        <f>34735825.98+10000.71</f>
        <v>34745826.689999998</v>
      </c>
      <c r="L101" s="12">
        <f>+J101-K101</f>
        <v>15254173.310000002</v>
      </c>
      <c r="M101" s="12"/>
      <c r="N101" s="12"/>
      <c r="O101" s="12"/>
      <c r="P101" s="12">
        <f>+N101-O101</f>
        <v>0</v>
      </c>
      <c r="Q101" s="13"/>
      <c r="R101" s="12">
        <f t="shared" ref="R101:S103" si="48">+F101+J101+N101</f>
        <v>61880000</v>
      </c>
      <c r="S101" s="12">
        <f t="shared" si="48"/>
        <v>46625826.689999998</v>
      </c>
      <c r="T101" s="14">
        <f>+R101-S101</f>
        <v>15254173.310000002</v>
      </c>
      <c r="U101" s="17">
        <f t="shared" si="32"/>
        <v>0.75348782627666444</v>
      </c>
    </row>
    <row r="102" spans="2:25" ht="29.25" customHeight="1">
      <c r="B102" s="18"/>
      <c r="C102" s="10"/>
      <c r="D102" s="10"/>
      <c r="E102" s="22" t="s">
        <v>94</v>
      </c>
      <c r="F102" s="12">
        <v>18239000</v>
      </c>
      <c r="G102" s="12">
        <v>27652318.009999998</v>
      </c>
      <c r="H102" s="12">
        <f>+F102-G102</f>
        <v>-9413318.0099999979</v>
      </c>
      <c r="I102" s="13"/>
      <c r="J102" s="12">
        <v>34095000</v>
      </c>
      <c r="K102" s="12">
        <v>978609.94</v>
      </c>
      <c r="L102" s="12">
        <f>+J102-K102</f>
        <v>33116390.059999999</v>
      </c>
      <c r="M102" s="12"/>
      <c r="N102" s="12"/>
      <c r="O102" s="12"/>
      <c r="P102" s="12">
        <f>+N102-O102</f>
        <v>0</v>
      </c>
      <c r="Q102" s="13"/>
      <c r="R102" s="12">
        <f t="shared" si="48"/>
        <v>52334000</v>
      </c>
      <c r="S102" s="12">
        <f t="shared" si="48"/>
        <v>28630927.949999999</v>
      </c>
      <c r="T102" s="14">
        <f>+R102-S102</f>
        <v>23703072.050000001</v>
      </c>
      <c r="U102" s="17">
        <f t="shared" si="32"/>
        <v>0.54708082604043262</v>
      </c>
    </row>
    <row r="103" spans="2:25" ht="29.25" customHeight="1">
      <c r="B103" s="18"/>
      <c r="C103" s="10"/>
      <c r="D103" s="10"/>
      <c r="E103" s="22" t="s">
        <v>95</v>
      </c>
      <c r="F103" s="12">
        <v>1637000</v>
      </c>
      <c r="G103" s="12">
        <v>1636935.44</v>
      </c>
      <c r="H103" s="12">
        <f>+F103-G103</f>
        <v>64.560000000055879</v>
      </c>
      <c r="I103" s="13"/>
      <c r="J103" s="12"/>
      <c r="K103" s="12"/>
      <c r="L103" s="12">
        <f>+J103-K103</f>
        <v>0</v>
      </c>
      <c r="M103" s="12"/>
      <c r="N103" s="12"/>
      <c r="O103" s="12"/>
      <c r="P103" s="12">
        <f>+N103-O103</f>
        <v>0</v>
      </c>
      <c r="Q103" s="13"/>
      <c r="R103" s="12">
        <f t="shared" si="48"/>
        <v>1637000</v>
      </c>
      <c r="S103" s="12">
        <f t="shared" si="48"/>
        <v>1636935.44</v>
      </c>
      <c r="T103" s="14">
        <f>+R103-S103</f>
        <v>64.560000000055879</v>
      </c>
      <c r="U103" s="17">
        <f t="shared" si="32"/>
        <v>0.99996056200366523</v>
      </c>
    </row>
    <row r="104" spans="2:25" ht="27.75" customHeight="1">
      <c r="B104" s="18"/>
      <c r="C104" s="10"/>
      <c r="D104" s="10"/>
      <c r="E104" s="31" t="s">
        <v>51</v>
      </c>
      <c r="F104" s="32">
        <f>SUM(F85:F103)</f>
        <v>292485476</v>
      </c>
      <c r="G104" s="32">
        <f t="shared" ref="G104:S104" si="49">SUM(G85:G103)</f>
        <v>191552116.52000001</v>
      </c>
      <c r="H104" s="32">
        <f t="shared" si="49"/>
        <v>100933359.47999999</v>
      </c>
      <c r="I104" s="32">
        <f t="shared" si="49"/>
        <v>0</v>
      </c>
      <c r="J104" s="32">
        <f>SUM(J85:J103)</f>
        <v>117651530</v>
      </c>
      <c r="K104" s="32">
        <f t="shared" ref="K104" si="50">SUM(K85:K103)</f>
        <v>69280966.629999995</v>
      </c>
      <c r="L104" s="32">
        <f>SUM(L85:L103)</f>
        <v>151874991.66999999</v>
      </c>
      <c r="M104" s="32">
        <f t="shared" si="49"/>
        <v>0</v>
      </c>
      <c r="N104" s="32">
        <f>SUM(N85:N103)</f>
        <v>1022045.79</v>
      </c>
      <c r="O104" s="32">
        <f t="shared" ref="O104" si="51">SUM(O85:O103)</f>
        <v>6167944.1600000001</v>
      </c>
      <c r="P104" s="32">
        <f>SUM(P85:P103)</f>
        <v>-5145898.37</v>
      </c>
      <c r="Q104" s="32">
        <f t="shared" si="49"/>
        <v>0</v>
      </c>
      <c r="R104" s="32">
        <f t="shared" si="49"/>
        <v>411159051.78999996</v>
      </c>
      <c r="S104" s="32">
        <f t="shared" si="49"/>
        <v>267001027.31</v>
      </c>
      <c r="T104" s="34">
        <f>SUM(T85:T103)</f>
        <v>144158024.48000002</v>
      </c>
      <c r="U104" s="17">
        <f t="shared" si="32"/>
        <v>0.64938623179423793</v>
      </c>
    </row>
    <row r="105" spans="2:25" ht="24.95" customHeight="1">
      <c r="B105" s="18"/>
      <c r="C105" s="10"/>
      <c r="D105" s="10"/>
      <c r="E105" s="22"/>
      <c r="F105" s="12"/>
      <c r="G105" s="12"/>
      <c r="H105" s="12"/>
      <c r="I105" s="13"/>
      <c r="J105" s="12"/>
      <c r="K105" s="12"/>
      <c r="L105" s="12"/>
      <c r="M105" s="12"/>
      <c r="N105" s="12"/>
      <c r="O105" s="12"/>
      <c r="P105" s="12"/>
      <c r="Q105" s="13"/>
      <c r="R105" s="12"/>
      <c r="S105" s="12"/>
      <c r="T105" s="14"/>
      <c r="U105" s="17"/>
      <c r="Y105" s="2" t="s">
        <v>96</v>
      </c>
    </row>
    <row r="106" spans="2:25" ht="24.95" customHeight="1">
      <c r="B106" s="18"/>
      <c r="C106" s="24" t="s">
        <v>97</v>
      </c>
      <c r="D106" s="10"/>
      <c r="E106" s="22"/>
      <c r="F106" s="12">
        <f>SUM(F108:F136)</f>
        <v>830975991</v>
      </c>
      <c r="G106" s="12">
        <f>SUM(G108:G136)</f>
        <v>253569820.73000002</v>
      </c>
      <c r="H106" s="12">
        <f t="shared" ref="H106:T106" si="52">SUM(H108:H136)</f>
        <v>577406170.26999998</v>
      </c>
      <c r="I106" s="12">
        <f t="shared" si="52"/>
        <v>0</v>
      </c>
      <c r="J106" s="12">
        <f>SUM(J108:J136)</f>
        <v>30300000</v>
      </c>
      <c r="K106" s="12">
        <f>SUM(K108:K136)</f>
        <v>14663403.220000001</v>
      </c>
      <c r="L106" s="12">
        <f>SUM(L108:L136)</f>
        <v>15636596.779999999</v>
      </c>
      <c r="M106" s="12">
        <f t="shared" si="52"/>
        <v>0</v>
      </c>
      <c r="N106" s="12">
        <f>SUM(N108:N136)</f>
        <v>13043793</v>
      </c>
      <c r="O106" s="12">
        <f>SUM(O108:O136)</f>
        <v>7404872.6099999994</v>
      </c>
      <c r="P106" s="12">
        <f>SUM(P108:P136)</f>
        <v>5638920.3900000006</v>
      </c>
      <c r="Q106" s="12">
        <f t="shared" si="52"/>
        <v>0</v>
      </c>
      <c r="R106" s="12">
        <f t="shared" si="52"/>
        <v>874319784</v>
      </c>
      <c r="S106" s="12">
        <f t="shared" si="52"/>
        <v>275638096.56000006</v>
      </c>
      <c r="T106" s="14">
        <f t="shared" si="52"/>
        <v>598681687.44000006</v>
      </c>
      <c r="U106" s="17">
        <f>+S106/R106</f>
        <v>0.31526004741532881</v>
      </c>
    </row>
    <row r="107" spans="2:25" ht="24.95" customHeight="1">
      <c r="B107" s="18"/>
      <c r="C107" s="20" t="s">
        <v>98</v>
      </c>
      <c r="D107" s="20"/>
      <c r="E107" s="10"/>
      <c r="F107" s="12"/>
      <c r="G107" s="12"/>
      <c r="H107" s="12">
        <f t="shared" ref="H107:H115" si="53">+F107-G107</f>
        <v>0</v>
      </c>
      <c r="I107" s="13"/>
      <c r="J107" s="12"/>
      <c r="K107" s="12"/>
      <c r="L107" s="12">
        <f t="shared" ref="L107:L115" si="54">+J107-K107</f>
        <v>0</v>
      </c>
      <c r="M107" s="12"/>
      <c r="N107" s="12"/>
      <c r="O107" s="12"/>
      <c r="P107" s="12">
        <f t="shared" ref="P107:P115" si="55">+N107-O107</f>
        <v>0</v>
      </c>
      <c r="Q107" s="13"/>
      <c r="R107" s="12"/>
      <c r="S107" s="12"/>
      <c r="T107" s="14"/>
      <c r="U107" s="17"/>
    </row>
    <row r="108" spans="2:25" ht="24.95" customHeight="1">
      <c r="B108" s="18"/>
      <c r="C108" s="20"/>
      <c r="D108" s="20"/>
      <c r="E108" s="10" t="s">
        <v>99</v>
      </c>
      <c r="F108" s="12">
        <v>29494000</v>
      </c>
      <c r="G108" s="12">
        <v>9653032.7699999996</v>
      </c>
      <c r="H108" s="12">
        <f t="shared" si="53"/>
        <v>19840967.23</v>
      </c>
      <c r="I108" s="13"/>
      <c r="J108" s="12"/>
      <c r="K108" s="12"/>
      <c r="L108" s="12">
        <f t="shared" si="54"/>
        <v>0</v>
      </c>
      <c r="M108" s="12"/>
      <c r="N108" s="12">
        <v>4750239</v>
      </c>
      <c r="O108" s="12">
        <v>0</v>
      </c>
      <c r="P108" s="12">
        <f t="shared" si="55"/>
        <v>4750239</v>
      </c>
      <c r="Q108" s="13"/>
      <c r="R108" s="12">
        <f t="shared" ref="R108:S115" si="56">+F108+J108+N108</f>
        <v>34244239</v>
      </c>
      <c r="S108" s="12">
        <f t="shared" si="56"/>
        <v>9653032.7699999996</v>
      </c>
      <c r="T108" s="14">
        <f t="shared" ref="T108:T115" si="57">+R108-S108</f>
        <v>24591206.23</v>
      </c>
      <c r="U108" s="17">
        <f t="shared" si="32"/>
        <v>0.2818877876071359</v>
      </c>
    </row>
    <row r="109" spans="2:25" ht="27" customHeight="1">
      <c r="B109" s="18"/>
      <c r="C109" s="10"/>
      <c r="D109" s="10"/>
      <c r="E109" s="22" t="s">
        <v>100</v>
      </c>
      <c r="F109" s="12">
        <v>20000000</v>
      </c>
      <c r="G109" s="12">
        <v>19390195.460000001</v>
      </c>
      <c r="H109" s="12">
        <f t="shared" si="53"/>
        <v>609804.53999999911</v>
      </c>
      <c r="I109" s="13"/>
      <c r="J109" s="12"/>
      <c r="K109" s="12"/>
      <c r="L109" s="12">
        <f t="shared" si="54"/>
        <v>0</v>
      </c>
      <c r="M109" s="12"/>
      <c r="N109" s="12"/>
      <c r="O109" s="12"/>
      <c r="P109" s="12">
        <f t="shared" si="55"/>
        <v>0</v>
      </c>
      <c r="Q109" s="13"/>
      <c r="R109" s="12">
        <f t="shared" si="56"/>
        <v>20000000</v>
      </c>
      <c r="S109" s="12">
        <f t="shared" si="56"/>
        <v>19390195.460000001</v>
      </c>
      <c r="T109" s="14">
        <f t="shared" si="57"/>
        <v>609804.53999999911</v>
      </c>
      <c r="U109" s="17">
        <f t="shared" si="32"/>
        <v>0.96950977300000007</v>
      </c>
    </row>
    <row r="110" spans="2:25" ht="27" customHeight="1">
      <c r="B110" s="18"/>
      <c r="C110" s="10"/>
      <c r="D110" s="10"/>
      <c r="E110" s="22" t="s">
        <v>101</v>
      </c>
      <c r="F110" s="12">
        <v>2973000</v>
      </c>
      <c r="G110" s="12">
        <v>2462996.62</v>
      </c>
      <c r="H110" s="12">
        <f t="shared" si="53"/>
        <v>510003.37999999989</v>
      </c>
      <c r="I110" s="13"/>
      <c r="J110" s="12"/>
      <c r="K110" s="12"/>
      <c r="L110" s="12">
        <f t="shared" si="54"/>
        <v>0</v>
      </c>
      <c r="M110" s="12"/>
      <c r="N110" s="12"/>
      <c r="O110" s="12"/>
      <c r="P110" s="12">
        <f t="shared" si="55"/>
        <v>0</v>
      </c>
      <c r="Q110" s="13"/>
      <c r="R110" s="12">
        <f t="shared" si="56"/>
        <v>2973000</v>
      </c>
      <c r="S110" s="12">
        <f t="shared" si="56"/>
        <v>2462996.62</v>
      </c>
      <c r="T110" s="14">
        <f t="shared" si="57"/>
        <v>510003.37999999989</v>
      </c>
      <c r="U110" s="17">
        <f t="shared" si="32"/>
        <v>0.82845496804574503</v>
      </c>
    </row>
    <row r="111" spans="2:25" ht="29.25" customHeight="1">
      <c r="B111" s="18"/>
      <c r="C111" s="10"/>
      <c r="D111" s="10"/>
      <c r="E111" s="22" t="s">
        <v>102</v>
      </c>
      <c r="F111" s="12">
        <v>1583584</v>
      </c>
      <c r="G111" s="12">
        <v>1570245.87</v>
      </c>
      <c r="H111" s="12">
        <f t="shared" si="53"/>
        <v>13338.129999999888</v>
      </c>
      <c r="I111" s="13"/>
      <c r="J111" s="12"/>
      <c r="K111" s="12"/>
      <c r="L111" s="12">
        <f t="shared" si="54"/>
        <v>0</v>
      </c>
      <c r="M111" s="12"/>
      <c r="N111" s="12"/>
      <c r="O111" s="12"/>
      <c r="P111" s="12">
        <f t="shared" si="55"/>
        <v>0</v>
      </c>
      <c r="Q111" s="13"/>
      <c r="R111" s="12">
        <f t="shared" si="56"/>
        <v>1583584</v>
      </c>
      <c r="S111" s="12">
        <f t="shared" si="56"/>
        <v>1570245.87</v>
      </c>
      <c r="T111" s="14">
        <f t="shared" si="57"/>
        <v>13338.129999999888</v>
      </c>
      <c r="U111" s="17">
        <f t="shared" si="32"/>
        <v>0.99157725134883912</v>
      </c>
    </row>
    <row r="112" spans="2:25" ht="24.95" customHeight="1">
      <c r="B112" s="18"/>
      <c r="C112" s="10"/>
      <c r="D112" s="10"/>
      <c r="E112" s="28" t="s">
        <v>103</v>
      </c>
      <c r="F112" s="12">
        <v>2149000</v>
      </c>
      <c r="G112" s="12">
        <v>1406491.51</v>
      </c>
      <c r="H112" s="12">
        <f t="shared" si="53"/>
        <v>742508.49</v>
      </c>
      <c r="I112" s="13"/>
      <c r="J112" s="12"/>
      <c r="K112" s="12"/>
      <c r="L112" s="12">
        <f t="shared" si="54"/>
        <v>0</v>
      </c>
      <c r="M112" s="12"/>
      <c r="N112" s="12"/>
      <c r="O112" s="12"/>
      <c r="P112" s="12">
        <f t="shared" si="55"/>
        <v>0</v>
      </c>
      <c r="Q112" s="13"/>
      <c r="R112" s="12">
        <f t="shared" si="56"/>
        <v>2149000</v>
      </c>
      <c r="S112" s="12">
        <f t="shared" si="56"/>
        <v>1406491.51</v>
      </c>
      <c r="T112" s="14">
        <f t="shared" si="57"/>
        <v>742508.49</v>
      </c>
      <c r="U112" s="17">
        <f t="shared" si="32"/>
        <v>0.6544865100046533</v>
      </c>
    </row>
    <row r="113" spans="2:22" ht="24.95" customHeight="1">
      <c r="B113" s="18"/>
      <c r="C113" s="10"/>
      <c r="D113" s="10"/>
      <c r="E113" s="22" t="s">
        <v>104</v>
      </c>
      <c r="F113" s="120">
        <v>3199000</v>
      </c>
      <c r="G113" s="120">
        <v>3194738.6</v>
      </c>
      <c r="H113" s="12">
        <f t="shared" si="53"/>
        <v>4261.3999999999069</v>
      </c>
      <c r="I113" s="13"/>
      <c r="J113" s="12"/>
      <c r="K113" s="12"/>
      <c r="L113" s="12">
        <f t="shared" si="54"/>
        <v>0</v>
      </c>
      <c r="M113" s="12"/>
      <c r="N113" s="12"/>
      <c r="O113" s="12"/>
      <c r="P113" s="12">
        <f t="shared" si="55"/>
        <v>0</v>
      </c>
      <c r="Q113" s="13"/>
      <c r="R113" s="12">
        <f t="shared" si="56"/>
        <v>3199000</v>
      </c>
      <c r="S113" s="12">
        <f t="shared" si="56"/>
        <v>3194738.6</v>
      </c>
      <c r="T113" s="14">
        <f t="shared" si="57"/>
        <v>4261.3999999999069</v>
      </c>
      <c r="U113" s="17">
        <f t="shared" si="32"/>
        <v>0.99866789621756802</v>
      </c>
    </row>
    <row r="114" spans="2:22" ht="29.25" customHeight="1">
      <c r="B114" s="18"/>
      <c r="C114" s="10"/>
      <c r="D114" s="10"/>
      <c r="E114" s="22" t="s">
        <v>105</v>
      </c>
      <c r="F114" s="12">
        <v>6200000</v>
      </c>
      <c r="G114" s="12">
        <v>5358800.47</v>
      </c>
      <c r="H114" s="12">
        <f t="shared" si="53"/>
        <v>841199.53000000026</v>
      </c>
      <c r="I114" s="13"/>
      <c r="J114" s="12"/>
      <c r="K114" s="12"/>
      <c r="L114" s="12">
        <f t="shared" si="54"/>
        <v>0</v>
      </c>
      <c r="M114" s="12"/>
      <c r="N114" s="12"/>
      <c r="O114" s="12"/>
      <c r="P114" s="12">
        <f t="shared" si="55"/>
        <v>0</v>
      </c>
      <c r="Q114" s="13"/>
      <c r="R114" s="12">
        <f t="shared" si="56"/>
        <v>6200000</v>
      </c>
      <c r="S114" s="12">
        <f t="shared" si="56"/>
        <v>5358800.47</v>
      </c>
      <c r="T114" s="14">
        <f t="shared" si="57"/>
        <v>841199.53000000026</v>
      </c>
      <c r="U114" s="17">
        <f t="shared" si="32"/>
        <v>0.86432265645161288</v>
      </c>
    </row>
    <row r="115" spans="2:22" ht="29.25" customHeight="1">
      <c r="B115" s="18"/>
      <c r="C115" s="10"/>
      <c r="D115" s="10"/>
      <c r="E115" s="21" t="s">
        <v>106</v>
      </c>
      <c r="F115" s="12">
        <v>11276000</v>
      </c>
      <c r="G115" s="12">
        <v>2088005.03</v>
      </c>
      <c r="H115" s="12">
        <f t="shared" si="53"/>
        <v>9187994.9700000007</v>
      </c>
      <c r="I115" s="13"/>
      <c r="J115" s="12"/>
      <c r="K115" s="12"/>
      <c r="L115" s="12">
        <f t="shared" si="54"/>
        <v>0</v>
      </c>
      <c r="M115" s="12"/>
      <c r="N115" s="12"/>
      <c r="O115" s="12"/>
      <c r="P115" s="12">
        <f t="shared" si="55"/>
        <v>0</v>
      </c>
      <c r="Q115" s="13"/>
      <c r="R115" s="12">
        <f t="shared" si="56"/>
        <v>11276000</v>
      </c>
      <c r="S115" s="12">
        <f t="shared" si="56"/>
        <v>2088005.03</v>
      </c>
      <c r="T115" s="14">
        <f t="shared" si="57"/>
        <v>9187994.9700000007</v>
      </c>
      <c r="U115" s="17">
        <f t="shared" si="32"/>
        <v>0.18517249290528556</v>
      </c>
    </row>
    <row r="116" spans="2:22" ht="24.95" customHeight="1">
      <c r="B116" s="18"/>
      <c r="C116" s="10"/>
      <c r="D116" s="10"/>
      <c r="E116" s="28"/>
      <c r="F116" s="12"/>
      <c r="G116" s="12"/>
      <c r="H116" s="12"/>
      <c r="I116" s="13"/>
      <c r="J116" s="12"/>
      <c r="K116" s="12"/>
      <c r="L116" s="12"/>
      <c r="M116" s="12"/>
      <c r="N116" s="12"/>
      <c r="O116" s="12"/>
      <c r="P116" s="12"/>
      <c r="Q116" s="13"/>
      <c r="R116" s="12"/>
      <c r="S116" s="12"/>
      <c r="T116" s="14"/>
      <c r="U116" s="17"/>
    </row>
    <row r="117" spans="2:22" ht="24.95" customHeight="1">
      <c r="B117" s="18"/>
      <c r="C117" s="20" t="s">
        <v>107</v>
      </c>
      <c r="D117" s="20"/>
      <c r="E117" s="10"/>
      <c r="F117" s="12"/>
      <c r="G117" s="12"/>
      <c r="H117" s="12"/>
      <c r="I117" s="13"/>
      <c r="J117" s="12"/>
      <c r="K117" s="12"/>
      <c r="L117" s="12"/>
      <c r="M117" s="12"/>
      <c r="N117" s="12"/>
      <c r="O117" s="12"/>
      <c r="P117" s="12"/>
      <c r="Q117" s="13"/>
      <c r="R117" s="12"/>
      <c r="S117" s="12"/>
      <c r="T117" s="14"/>
      <c r="U117" s="17"/>
    </row>
    <row r="118" spans="2:22" ht="24.95" customHeight="1">
      <c r="B118" s="18"/>
      <c r="C118" s="20"/>
      <c r="D118" s="20"/>
      <c r="E118" s="10" t="s">
        <v>108</v>
      </c>
      <c r="F118" s="12">
        <v>62229000</v>
      </c>
      <c r="G118" s="12">
        <v>15386220.84</v>
      </c>
      <c r="H118" s="12">
        <f>+F118-G118</f>
        <v>46842779.159999996</v>
      </c>
      <c r="I118" s="13"/>
      <c r="J118" s="12">
        <v>0</v>
      </c>
      <c r="K118" s="12">
        <v>0</v>
      </c>
      <c r="L118" s="12">
        <f>+J118-K118</f>
        <v>0</v>
      </c>
      <c r="M118" s="12"/>
      <c r="N118" s="12">
        <v>0</v>
      </c>
      <c r="O118" s="12">
        <v>0</v>
      </c>
      <c r="P118" s="12">
        <f>+N118-O118</f>
        <v>0</v>
      </c>
      <c r="Q118" s="13"/>
      <c r="R118" s="12">
        <f t="shared" ref="R118:S121" si="58">+F118+J118+N118</f>
        <v>62229000</v>
      </c>
      <c r="S118" s="12">
        <f t="shared" si="58"/>
        <v>15386220.84</v>
      </c>
      <c r="T118" s="14">
        <f>+R118-S118</f>
        <v>46842779.159999996</v>
      </c>
      <c r="U118" s="17">
        <f t="shared" si="32"/>
        <v>0.24725161644892252</v>
      </c>
    </row>
    <row r="119" spans="2:22" ht="28.5" customHeight="1">
      <c r="B119" s="18"/>
      <c r="C119" s="10"/>
      <c r="D119" s="10"/>
      <c r="E119" s="21" t="s">
        <v>109</v>
      </c>
      <c r="F119" s="12">
        <v>329408000</v>
      </c>
      <c r="G119" s="12">
        <v>19309682.100000001</v>
      </c>
      <c r="H119" s="12">
        <f>+F119-G119</f>
        <v>310098317.89999998</v>
      </c>
      <c r="I119" s="13"/>
      <c r="J119" s="12">
        <v>0</v>
      </c>
      <c r="K119" s="12">
        <v>0</v>
      </c>
      <c r="L119" s="12">
        <f>+J119-K119</f>
        <v>0</v>
      </c>
      <c r="M119" s="12"/>
      <c r="N119" s="12">
        <v>714179</v>
      </c>
      <c r="O119" s="12">
        <v>714177.21</v>
      </c>
      <c r="P119" s="12">
        <f>+N119-O119</f>
        <v>1.7900000000372529</v>
      </c>
      <c r="Q119" s="13"/>
      <c r="R119" s="12">
        <f t="shared" si="58"/>
        <v>330122179</v>
      </c>
      <c r="S119" s="12">
        <f t="shared" si="58"/>
        <v>20023859.310000002</v>
      </c>
      <c r="T119" s="14">
        <f>+R119-S119</f>
        <v>310098319.69</v>
      </c>
      <c r="U119" s="17">
        <f t="shared" si="32"/>
        <v>6.0655904340192794E-2</v>
      </c>
    </row>
    <row r="120" spans="2:22" ht="28.5" customHeight="1">
      <c r="B120" s="18"/>
      <c r="C120" s="10"/>
      <c r="D120" s="10"/>
      <c r="E120" s="21" t="s">
        <v>110</v>
      </c>
      <c r="F120" s="12">
        <v>31470000</v>
      </c>
      <c r="G120" s="12">
        <v>22860569.649999999</v>
      </c>
      <c r="H120" s="12">
        <f>+F120-G120</f>
        <v>8609430.3500000015</v>
      </c>
      <c r="I120" s="13"/>
      <c r="J120" s="12">
        <v>0</v>
      </c>
      <c r="K120" s="12">
        <v>0</v>
      </c>
      <c r="L120" s="12">
        <f>+J120-K120</f>
        <v>0</v>
      </c>
      <c r="M120" s="12"/>
      <c r="N120" s="12">
        <v>0</v>
      </c>
      <c r="O120" s="12">
        <v>0</v>
      </c>
      <c r="P120" s="12">
        <f>+N120-O120</f>
        <v>0</v>
      </c>
      <c r="Q120" s="13"/>
      <c r="R120" s="12">
        <f t="shared" si="58"/>
        <v>31470000</v>
      </c>
      <c r="S120" s="12">
        <f t="shared" si="58"/>
        <v>22860569.649999999</v>
      </c>
      <c r="T120" s="14">
        <f>+R120-S120</f>
        <v>8609430.3500000015</v>
      </c>
      <c r="U120" s="17">
        <f t="shared" si="32"/>
        <v>0.72642420241499839</v>
      </c>
    </row>
    <row r="121" spans="2:22" ht="28.5" customHeight="1">
      <c r="B121" s="18"/>
      <c r="C121" s="10"/>
      <c r="D121" s="10"/>
      <c r="E121" s="22" t="s">
        <v>111</v>
      </c>
      <c r="F121" s="12">
        <v>25075000</v>
      </c>
      <c r="G121" s="12">
        <v>10517866.369999999</v>
      </c>
      <c r="H121" s="12">
        <f>+F121-G121</f>
        <v>14557133.630000001</v>
      </c>
      <c r="I121" s="13"/>
      <c r="J121" s="12">
        <v>300000</v>
      </c>
      <c r="K121" s="12">
        <v>24540</v>
      </c>
      <c r="L121" s="12">
        <f>+J121-K121</f>
        <v>275460</v>
      </c>
      <c r="M121" s="12"/>
      <c r="N121" s="12">
        <v>0</v>
      </c>
      <c r="O121" s="12">
        <v>0</v>
      </c>
      <c r="P121" s="12">
        <f>+N121-O121</f>
        <v>0</v>
      </c>
      <c r="Q121" s="13"/>
      <c r="R121" s="12">
        <f t="shared" si="58"/>
        <v>25375000</v>
      </c>
      <c r="S121" s="12">
        <f t="shared" si="58"/>
        <v>10542406.369999999</v>
      </c>
      <c r="T121" s="14">
        <f>+R121-S121</f>
        <v>14832593.630000001</v>
      </c>
      <c r="U121" s="17">
        <f t="shared" si="32"/>
        <v>0.4154642904433497</v>
      </c>
    </row>
    <row r="122" spans="2:22" ht="24.95" customHeight="1">
      <c r="B122" s="18"/>
      <c r="C122" s="10"/>
      <c r="D122" s="10"/>
      <c r="E122" s="22"/>
      <c r="F122" s="12"/>
      <c r="G122" s="12"/>
      <c r="H122" s="12"/>
      <c r="I122" s="13"/>
      <c r="J122" s="12"/>
      <c r="K122" s="12"/>
      <c r="L122" s="12"/>
      <c r="M122" s="12"/>
      <c r="N122" s="12"/>
      <c r="O122" s="12"/>
      <c r="P122" s="12"/>
      <c r="Q122" s="13"/>
      <c r="R122" s="12"/>
      <c r="S122" s="12"/>
      <c r="T122" s="14"/>
      <c r="U122" s="17"/>
    </row>
    <row r="123" spans="2:22" ht="24.95" customHeight="1">
      <c r="B123" s="18"/>
      <c r="C123" s="20" t="s">
        <v>112</v>
      </c>
      <c r="D123" s="20"/>
      <c r="E123" s="10"/>
      <c r="F123" s="12"/>
      <c r="G123" s="12"/>
      <c r="H123" s="12"/>
      <c r="I123" s="13"/>
      <c r="J123" s="12"/>
      <c r="K123" s="12"/>
      <c r="L123" s="12"/>
      <c r="M123" s="12"/>
      <c r="N123" s="12"/>
      <c r="O123" s="12"/>
      <c r="P123" s="12"/>
      <c r="Q123" s="13"/>
      <c r="R123" s="12"/>
      <c r="S123" s="12"/>
      <c r="T123" s="14"/>
      <c r="U123" s="17"/>
    </row>
    <row r="124" spans="2:22" ht="24.95" customHeight="1">
      <c r="B124" s="18"/>
      <c r="C124" s="20"/>
      <c r="D124" s="20"/>
      <c r="E124" s="10" t="s">
        <v>113</v>
      </c>
      <c r="F124" s="12">
        <v>24107000</v>
      </c>
      <c r="G124" s="12">
        <v>19355813.530000001</v>
      </c>
      <c r="H124" s="12">
        <f>+F124-G124</f>
        <v>4751186.4699999988</v>
      </c>
      <c r="I124" s="13"/>
      <c r="J124" s="12">
        <v>10000000</v>
      </c>
      <c r="K124" s="12">
        <v>6666606.71</v>
      </c>
      <c r="L124" s="12">
        <f>+J124-K124</f>
        <v>3333393.29</v>
      </c>
      <c r="M124" s="12"/>
      <c r="N124" s="12">
        <v>5052004</v>
      </c>
      <c r="O124" s="12">
        <v>5052003.43</v>
      </c>
      <c r="P124" s="12">
        <f>+N124-O124</f>
        <v>0.57000000029802322</v>
      </c>
      <c r="Q124" s="13"/>
      <c r="R124" s="12">
        <f t="shared" ref="R124:S126" si="59">+F124+J124+N124</f>
        <v>39159004</v>
      </c>
      <c r="S124" s="12">
        <f t="shared" si="59"/>
        <v>31074423.670000002</v>
      </c>
      <c r="T124" s="14">
        <f>+R124-S124</f>
        <v>8084580.3299999982</v>
      </c>
      <c r="U124" s="17">
        <f t="shared" si="32"/>
        <v>0.79354479163974656</v>
      </c>
      <c r="V124" s="2" t="s">
        <v>291</v>
      </c>
    </row>
    <row r="125" spans="2:22" ht="24.95" customHeight="1">
      <c r="B125" s="18"/>
      <c r="C125" s="10"/>
      <c r="D125" s="10"/>
      <c r="E125" s="22" t="s">
        <v>115</v>
      </c>
      <c r="F125" s="12">
        <v>56051000</v>
      </c>
      <c r="G125" s="12">
        <v>26173090.120000001</v>
      </c>
      <c r="H125" s="12">
        <f>+F125-G125</f>
        <v>29877909.879999999</v>
      </c>
      <c r="I125" s="13"/>
      <c r="J125" s="12"/>
      <c r="K125" s="12"/>
      <c r="L125" s="12">
        <f>+J125-K125</f>
        <v>0</v>
      </c>
      <c r="M125" s="12"/>
      <c r="N125" s="12">
        <v>2527371</v>
      </c>
      <c r="O125" s="12">
        <v>1638691.97</v>
      </c>
      <c r="P125" s="12">
        <f>+N125-O125</f>
        <v>888679.03</v>
      </c>
      <c r="Q125" s="13"/>
      <c r="R125" s="12">
        <f t="shared" si="59"/>
        <v>58578371</v>
      </c>
      <c r="S125" s="12">
        <f t="shared" si="59"/>
        <v>27811782.09</v>
      </c>
      <c r="T125" s="14">
        <f>+R125-S125</f>
        <v>30766588.91</v>
      </c>
      <c r="U125" s="17">
        <f t="shared" si="32"/>
        <v>0.47477902876472955</v>
      </c>
    </row>
    <row r="126" spans="2:22" ht="28.5" customHeight="1">
      <c r="B126" s="18"/>
      <c r="C126" s="10"/>
      <c r="D126" s="10"/>
      <c r="E126" s="22" t="s">
        <v>116</v>
      </c>
      <c r="F126" s="12">
        <v>24200644</v>
      </c>
      <c r="G126" s="12">
        <v>16329107.369999999</v>
      </c>
      <c r="H126" s="12">
        <f>+F126-G126</f>
        <v>7871536.6300000008</v>
      </c>
      <c r="I126" s="13"/>
      <c r="J126" s="12"/>
      <c r="K126" s="12"/>
      <c r="L126" s="12">
        <f>+J126-K126</f>
        <v>0</v>
      </c>
      <c r="M126" s="12"/>
      <c r="N126" s="12"/>
      <c r="O126" s="12"/>
      <c r="P126" s="12">
        <f>+N126-O126</f>
        <v>0</v>
      </c>
      <c r="Q126" s="13"/>
      <c r="R126" s="12">
        <f t="shared" si="59"/>
        <v>24200644</v>
      </c>
      <c r="S126" s="12">
        <f t="shared" si="59"/>
        <v>16329107.369999999</v>
      </c>
      <c r="T126" s="14">
        <f>+R126-S126</f>
        <v>7871536.6300000008</v>
      </c>
      <c r="U126" s="17">
        <f t="shared" si="32"/>
        <v>0.67473854704031844</v>
      </c>
    </row>
    <row r="127" spans="2:22" ht="24.95" customHeight="1">
      <c r="B127" s="18"/>
      <c r="C127" s="10"/>
      <c r="D127" s="10"/>
      <c r="E127" s="22"/>
      <c r="F127" s="12"/>
      <c r="G127" s="12"/>
      <c r="H127" s="12"/>
      <c r="I127" s="13"/>
      <c r="J127" s="12"/>
      <c r="K127" s="12"/>
      <c r="L127" s="12"/>
      <c r="M127" s="12"/>
      <c r="N127" s="12"/>
      <c r="O127" s="12"/>
      <c r="P127" s="12"/>
      <c r="Q127" s="13"/>
      <c r="R127" s="12"/>
      <c r="S127" s="12"/>
      <c r="T127" s="14"/>
      <c r="U127" s="17"/>
    </row>
    <row r="128" spans="2:22" ht="24.95" customHeight="1">
      <c r="B128" s="18"/>
      <c r="C128" s="20" t="s">
        <v>117</v>
      </c>
      <c r="D128" s="20"/>
      <c r="E128" s="10"/>
      <c r="F128" s="12"/>
      <c r="G128" s="12"/>
      <c r="H128" s="12"/>
      <c r="I128" s="13"/>
      <c r="J128" s="12"/>
      <c r="K128" s="12"/>
      <c r="L128" s="12"/>
      <c r="M128" s="12"/>
      <c r="N128" s="12"/>
      <c r="O128" s="12"/>
      <c r="P128" s="12"/>
      <c r="Q128" s="13"/>
      <c r="R128" s="12"/>
      <c r="S128" s="12"/>
      <c r="T128" s="14"/>
      <c r="U128" s="17"/>
    </row>
    <row r="129" spans="2:21" ht="24.95" customHeight="1">
      <c r="B129" s="18"/>
      <c r="C129" s="20"/>
      <c r="D129" s="20"/>
      <c r="E129" s="10" t="s">
        <v>118</v>
      </c>
      <c r="F129" s="119">
        <v>34386578</v>
      </c>
      <c r="G129" s="119">
        <f>17326408.68+3551263.08</f>
        <v>20877671.759999998</v>
      </c>
      <c r="H129" s="12">
        <f>+F129-G129</f>
        <v>13508906.240000002</v>
      </c>
      <c r="I129" s="13"/>
      <c r="J129" s="119">
        <v>20000000</v>
      </c>
      <c r="K129" s="119">
        <f>411215.39+71181.81+2235878.33+255122.19+213229.19+2389377.6+1875423.29+160413.06</f>
        <v>7611840.8599999994</v>
      </c>
      <c r="L129" s="12">
        <f>+J129-K129</f>
        <v>12388159.140000001</v>
      </c>
      <c r="M129" s="12"/>
      <c r="N129" s="12"/>
      <c r="O129" s="12"/>
      <c r="P129" s="12">
        <f>+N129-O129</f>
        <v>0</v>
      </c>
      <c r="Q129" s="13"/>
      <c r="R129" s="12">
        <f t="shared" ref="R129:S131" si="60">+F129+J129+N129</f>
        <v>54386578</v>
      </c>
      <c r="S129" s="12">
        <f t="shared" si="60"/>
        <v>28489512.619999997</v>
      </c>
      <c r="T129" s="14">
        <f>+R129-S129</f>
        <v>25897065.380000003</v>
      </c>
      <c r="U129" s="17">
        <f t="shared" si="32"/>
        <v>0.5238335204689657</v>
      </c>
    </row>
    <row r="130" spans="2:21" ht="27.75" customHeight="1">
      <c r="B130" s="18"/>
      <c r="C130" s="10"/>
      <c r="D130" s="10"/>
      <c r="E130" s="22" t="s">
        <v>119</v>
      </c>
      <c r="F130" s="12">
        <v>96148025</v>
      </c>
      <c r="G130" s="12">
        <v>13586127.810000001</v>
      </c>
      <c r="H130" s="12">
        <f>+F130-G130</f>
        <v>82561897.189999998</v>
      </c>
      <c r="I130" s="13"/>
      <c r="J130" s="12"/>
      <c r="K130" s="12"/>
      <c r="L130" s="12">
        <f>+J130-K130</f>
        <v>0</v>
      </c>
      <c r="M130" s="12"/>
      <c r="N130" s="12"/>
      <c r="O130" s="12"/>
      <c r="P130" s="12">
        <f>+N130-O130</f>
        <v>0</v>
      </c>
      <c r="Q130" s="13"/>
      <c r="R130" s="12">
        <f t="shared" si="60"/>
        <v>96148025</v>
      </c>
      <c r="S130" s="12">
        <f t="shared" si="60"/>
        <v>13586127.810000001</v>
      </c>
      <c r="T130" s="14">
        <f>+R130-S130</f>
        <v>82561897.189999998</v>
      </c>
      <c r="U130" s="17">
        <f t="shared" si="32"/>
        <v>0.14130428378534038</v>
      </c>
    </row>
    <row r="131" spans="2:21" ht="24.95" customHeight="1">
      <c r="B131" s="18"/>
      <c r="C131" s="10"/>
      <c r="D131" s="10"/>
      <c r="E131" s="28" t="s">
        <v>120</v>
      </c>
      <c r="F131" s="12">
        <v>5137000</v>
      </c>
      <c r="G131" s="12">
        <v>1706456.51</v>
      </c>
      <c r="H131" s="12">
        <f>+F131-G131</f>
        <v>3430543.49</v>
      </c>
      <c r="I131" s="13"/>
      <c r="J131" s="12"/>
      <c r="K131" s="12"/>
      <c r="L131" s="12">
        <f>+J131-K131</f>
        <v>0</v>
      </c>
      <c r="M131" s="12"/>
      <c r="N131" s="12"/>
      <c r="O131" s="12"/>
      <c r="P131" s="12">
        <f>+N131-O131</f>
        <v>0</v>
      </c>
      <c r="Q131" s="13"/>
      <c r="R131" s="12">
        <f t="shared" si="60"/>
        <v>5137000</v>
      </c>
      <c r="S131" s="12">
        <f t="shared" si="60"/>
        <v>1706456.51</v>
      </c>
      <c r="T131" s="14">
        <f>+R131-S131</f>
        <v>3430543.49</v>
      </c>
      <c r="U131" s="17">
        <f t="shared" si="32"/>
        <v>0.33218931477516062</v>
      </c>
    </row>
    <row r="132" spans="2:21" ht="24.95" customHeight="1">
      <c r="B132" s="18"/>
      <c r="C132" s="10"/>
      <c r="D132" s="10"/>
      <c r="E132" s="28"/>
      <c r="F132" s="12"/>
      <c r="G132" s="12"/>
      <c r="H132" s="12"/>
      <c r="I132" s="13"/>
      <c r="J132" s="12"/>
      <c r="K132" s="12"/>
      <c r="L132" s="12"/>
      <c r="M132" s="12"/>
      <c r="N132" s="12"/>
      <c r="O132" s="12"/>
      <c r="P132" s="12"/>
      <c r="Q132" s="13"/>
      <c r="R132" s="12"/>
      <c r="S132" s="12"/>
      <c r="T132" s="14"/>
      <c r="U132" s="17"/>
    </row>
    <row r="133" spans="2:21" ht="24.95" customHeight="1">
      <c r="B133" s="18"/>
      <c r="C133" s="20" t="s">
        <v>121</v>
      </c>
      <c r="D133" s="20"/>
      <c r="E133" s="10"/>
      <c r="F133" s="12"/>
      <c r="G133" s="12"/>
      <c r="H133" s="12"/>
      <c r="I133" s="13"/>
      <c r="J133" s="12"/>
      <c r="K133" s="12"/>
      <c r="L133" s="12"/>
      <c r="M133" s="12"/>
      <c r="N133" s="12"/>
      <c r="O133" s="12"/>
      <c r="P133" s="12"/>
      <c r="Q133" s="13"/>
      <c r="R133" s="12"/>
      <c r="S133" s="12"/>
      <c r="T133" s="14"/>
      <c r="U133" s="17"/>
    </row>
    <row r="134" spans="2:21" ht="24.95" customHeight="1">
      <c r="B134" s="18"/>
      <c r="C134" s="20"/>
      <c r="D134" s="20"/>
      <c r="E134" s="10" t="s">
        <v>122</v>
      </c>
      <c r="F134" s="12">
        <v>27869000</v>
      </c>
      <c r="G134" s="12">
        <v>25151835.309999999</v>
      </c>
      <c r="H134" s="12">
        <f>+F134-G134</f>
        <v>2717164.6900000013</v>
      </c>
      <c r="I134" s="13"/>
      <c r="J134" s="12"/>
      <c r="K134" s="12">
        <v>360415.65</v>
      </c>
      <c r="L134" s="12">
        <f>+J134-K134</f>
        <v>-360415.65</v>
      </c>
      <c r="M134" s="12"/>
      <c r="N134" s="12"/>
      <c r="O134" s="12"/>
      <c r="P134" s="12">
        <f>+N134-O134</f>
        <v>0</v>
      </c>
      <c r="Q134" s="13"/>
      <c r="R134" s="12">
        <f t="shared" ref="R134:S136" si="61">+F134+J134+N134</f>
        <v>27869000</v>
      </c>
      <c r="S134" s="12">
        <f t="shared" si="61"/>
        <v>25512250.959999997</v>
      </c>
      <c r="T134" s="14">
        <f>+R134-S134</f>
        <v>2356749.0400000028</v>
      </c>
      <c r="U134" s="17">
        <f t="shared" si="32"/>
        <v>0.91543474685134008</v>
      </c>
    </row>
    <row r="135" spans="2:21" ht="27.75" customHeight="1">
      <c r="B135" s="18"/>
      <c r="C135" s="10"/>
      <c r="D135" s="10"/>
      <c r="E135" s="22" t="s">
        <v>123</v>
      </c>
      <c r="F135" s="12">
        <v>21941160</v>
      </c>
      <c r="G135" s="12">
        <v>11275280.870000001</v>
      </c>
      <c r="H135" s="12">
        <f>+F135-G135</f>
        <v>10665879.129999999</v>
      </c>
      <c r="I135" s="13"/>
      <c r="J135" s="12"/>
      <c r="K135" s="12"/>
      <c r="L135" s="12">
        <f>+J135-K135</f>
        <v>0</v>
      </c>
      <c r="M135" s="12"/>
      <c r="N135" s="12"/>
      <c r="O135" s="12"/>
      <c r="P135" s="12">
        <f>+N135-O135</f>
        <v>0</v>
      </c>
      <c r="Q135" s="13"/>
      <c r="R135" s="12">
        <f t="shared" si="61"/>
        <v>21941160</v>
      </c>
      <c r="S135" s="12">
        <f t="shared" si="61"/>
        <v>11275280.870000001</v>
      </c>
      <c r="T135" s="14">
        <f>+R135-S135</f>
        <v>10665879.129999999</v>
      </c>
      <c r="U135" s="17">
        <f t="shared" si="32"/>
        <v>0.51388718144346068</v>
      </c>
    </row>
    <row r="136" spans="2:21" ht="27.75" customHeight="1">
      <c r="B136" s="18"/>
      <c r="C136" s="10"/>
      <c r="D136" s="10"/>
      <c r="E136" s="22" t="s">
        <v>124</v>
      </c>
      <c r="F136" s="12">
        <v>16079000</v>
      </c>
      <c r="G136" s="12">
        <v>5915592.1600000001</v>
      </c>
      <c r="H136" s="12">
        <f>+F136-G136</f>
        <v>10163407.84</v>
      </c>
      <c r="I136" s="13"/>
      <c r="J136" s="12"/>
      <c r="K136" s="12"/>
      <c r="L136" s="12">
        <f>+J136-K136</f>
        <v>0</v>
      </c>
      <c r="M136" s="12"/>
      <c r="N136" s="12"/>
      <c r="O136" s="12"/>
      <c r="P136" s="12">
        <f>+N136-O136</f>
        <v>0</v>
      </c>
      <c r="Q136" s="13"/>
      <c r="R136" s="12">
        <f t="shared" si="61"/>
        <v>16079000</v>
      </c>
      <c r="S136" s="12">
        <f t="shared" si="61"/>
        <v>5915592.1600000001</v>
      </c>
      <c r="T136" s="14">
        <f>+R136-S136</f>
        <v>10163407.84</v>
      </c>
      <c r="U136" s="17">
        <f t="shared" si="32"/>
        <v>0.36790796442564838</v>
      </c>
    </row>
    <row r="137" spans="2:21" ht="27.75" customHeight="1">
      <c r="B137" s="18"/>
      <c r="C137" s="10"/>
      <c r="D137" s="10"/>
      <c r="E137" s="31" t="s">
        <v>51</v>
      </c>
      <c r="F137" s="32">
        <f>SUM(F108:F136)</f>
        <v>830975991</v>
      </c>
      <c r="G137" s="32">
        <f t="shared" ref="G137:S137" si="62">SUM(G108:G136)</f>
        <v>253569820.73000002</v>
      </c>
      <c r="H137" s="32">
        <f t="shared" si="62"/>
        <v>577406170.26999998</v>
      </c>
      <c r="I137" s="32">
        <f t="shared" si="62"/>
        <v>0</v>
      </c>
      <c r="J137" s="32">
        <f>SUM(J108:J136)</f>
        <v>30300000</v>
      </c>
      <c r="K137" s="32">
        <f t="shared" ref="K137" si="63">SUM(K108:K136)</f>
        <v>14663403.220000001</v>
      </c>
      <c r="L137" s="32">
        <f>SUM(L108:L136)</f>
        <v>15636596.779999999</v>
      </c>
      <c r="M137" s="32">
        <f t="shared" si="62"/>
        <v>0</v>
      </c>
      <c r="N137" s="32">
        <f>SUM(N108:N136)</f>
        <v>13043793</v>
      </c>
      <c r="O137" s="32">
        <f t="shared" ref="O137" si="64">SUM(O108:O136)</f>
        <v>7404872.6099999994</v>
      </c>
      <c r="P137" s="32">
        <f>SUM(P108:P136)</f>
        <v>5638920.3900000006</v>
      </c>
      <c r="Q137" s="32">
        <f t="shared" si="62"/>
        <v>0</v>
      </c>
      <c r="R137" s="32">
        <f t="shared" si="62"/>
        <v>874319784</v>
      </c>
      <c r="S137" s="32">
        <f t="shared" si="62"/>
        <v>275638096.56000006</v>
      </c>
      <c r="T137" s="34">
        <f>SUM(T108:T136)</f>
        <v>598681687.44000006</v>
      </c>
      <c r="U137" s="17">
        <f t="shared" si="32"/>
        <v>0.31526004741532881</v>
      </c>
    </row>
    <row r="138" spans="2:21" ht="24.95" customHeight="1">
      <c r="B138" s="18"/>
      <c r="C138" s="10"/>
      <c r="D138" s="10"/>
      <c r="E138" s="22"/>
      <c r="F138" s="12"/>
      <c r="G138" s="12"/>
      <c r="H138" s="12"/>
      <c r="I138" s="13"/>
      <c r="J138" s="12"/>
      <c r="K138" s="12"/>
      <c r="L138" s="12"/>
      <c r="M138" s="12"/>
      <c r="N138" s="12"/>
      <c r="O138" s="12"/>
      <c r="P138" s="12"/>
      <c r="Q138" s="13"/>
      <c r="R138" s="12"/>
      <c r="S138" s="12"/>
      <c r="T138" s="14"/>
      <c r="U138" s="17"/>
    </row>
    <row r="139" spans="2:21" ht="27.75" customHeight="1">
      <c r="B139" s="18"/>
      <c r="C139" s="24" t="s">
        <v>147</v>
      </c>
      <c r="D139" s="10"/>
      <c r="E139" s="22"/>
      <c r="F139" s="32"/>
      <c r="G139" s="32"/>
      <c r="H139" s="32"/>
      <c r="I139" s="33"/>
      <c r="J139" s="32"/>
      <c r="K139" s="32"/>
      <c r="L139" s="32"/>
      <c r="M139" s="32"/>
      <c r="N139" s="32"/>
      <c r="O139" s="32"/>
      <c r="P139" s="32"/>
      <c r="Q139" s="33"/>
      <c r="R139" s="32"/>
      <c r="S139" s="32"/>
      <c r="T139" s="34"/>
      <c r="U139" s="17"/>
    </row>
    <row r="140" spans="2:21" ht="27.75" customHeight="1">
      <c r="B140" s="18"/>
      <c r="C140" s="10"/>
      <c r="D140" s="10"/>
      <c r="E140" s="10" t="s">
        <v>148</v>
      </c>
      <c r="F140" s="12">
        <v>50310000</v>
      </c>
      <c r="G140" s="12">
        <v>19554925.93</v>
      </c>
      <c r="H140" s="12">
        <f>+F140-G140</f>
        <v>30755074.07</v>
      </c>
      <c r="I140" s="13"/>
      <c r="J140" s="12"/>
      <c r="K140" s="12"/>
      <c r="L140" s="12">
        <f>+J140-K140</f>
        <v>0</v>
      </c>
      <c r="M140" s="12"/>
      <c r="N140" s="12"/>
      <c r="O140" s="12"/>
      <c r="P140" s="12">
        <f>+N140-O140</f>
        <v>0</v>
      </c>
      <c r="Q140" s="13"/>
      <c r="R140" s="12">
        <f t="shared" ref="R140:S141" si="65">+F140+J140+N140</f>
        <v>50310000</v>
      </c>
      <c r="S140" s="12">
        <f t="shared" si="65"/>
        <v>19554925.93</v>
      </c>
      <c r="T140" s="14">
        <f>+R140-S140</f>
        <v>30755074.07</v>
      </c>
      <c r="U140" s="17">
        <f t="shared" ref="U140:U141" si="66">+S140/R140</f>
        <v>0.38868864897634664</v>
      </c>
    </row>
    <row r="141" spans="2:21" ht="27.75" customHeight="1">
      <c r="B141" s="18"/>
      <c r="C141" s="10"/>
      <c r="D141" s="10"/>
      <c r="E141" s="10" t="s">
        <v>149</v>
      </c>
      <c r="F141" s="12">
        <v>24760000</v>
      </c>
      <c r="G141" s="12">
        <v>14097488.939999999</v>
      </c>
      <c r="H141" s="12">
        <f>+F141-G141</f>
        <v>10662511.060000001</v>
      </c>
      <c r="I141" s="13"/>
      <c r="J141" s="12"/>
      <c r="K141" s="12"/>
      <c r="L141" s="12">
        <f>+J141-K141</f>
        <v>0</v>
      </c>
      <c r="M141" s="12"/>
      <c r="N141" s="12"/>
      <c r="O141" s="12"/>
      <c r="P141" s="12">
        <f>+N141-O141</f>
        <v>0</v>
      </c>
      <c r="Q141" s="13"/>
      <c r="R141" s="12">
        <f t="shared" si="65"/>
        <v>24760000</v>
      </c>
      <c r="S141" s="12">
        <f t="shared" si="65"/>
        <v>14097488.939999999</v>
      </c>
      <c r="T141" s="14">
        <f>+R141-S141</f>
        <v>10662511.060000001</v>
      </c>
      <c r="U141" s="17">
        <f t="shared" si="66"/>
        <v>0.56936546607431338</v>
      </c>
    </row>
    <row r="142" spans="2:21" ht="24.95" customHeight="1">
      <c r="B142" s="18"/>
      <c r="C142" s="10"/>
      <c r="D142" s="10"/>
      <c r="E142" s="22"/>
      <c r="F142" s="12"/>
      <c r="G142" s="12"/>
      <c r="H142" s="12"/>
      <c r="I142" s="13"/>
      <c r="J142" s="12"/>
      <c r="K142" s="12"/>
      <c r="L142" s="12"/>
      <c r="M142" s="12"/>
      <c r="N142" s="12"/>
      <c r="O142" s="12"/>
      <c r="P142" s="12"/>
      <c r="Q142" s="13"/>
      <c r="R142" s="12"/>
      <c r="S142" s="12"/>
      <c r="T142" s="14"/>
      <c r="U142" s="17"/>
    </row>
    <row r="143" spans="2:21" s="48" customFormat="1" ht="15.75" thickBot="1">
      <c r="B143" s="44"/>
      <c r="C143" s="24"/>
      <c r="D143" s="24"/>
      <c r="E143" s="45" t="s">
        <v>125</v>
      </c>
      <c r="F143" s="46">
        <f>+F8+F51+F81+F104+F137+F49+F50+F140+F141</f>
        <v>5576913021.8800001</v>
      </c>
      <c r="G143" s="46">
        <f t="shared" ref="G143:H143" si="67">+G8+G51+G81+G104+G137+G49+G50+G140+G141</f>
        <v>2124972477.4900005</v>
      </c>
      <c r="H143" s="46">
        <f t="shared" si="67"/>
        <v>3451940544.3900003</v>
      </c>
      <c r="I143" s="46">
        <f t="shared" ref="I143:Q143" si="68">+I8+I51+I81+I104+I137+I49+I50</f>
        <v>2208000</v>
      </c>
      <c r="J143" s="46">
        <f>+J8+J51+J81+J104+J137+J49+J50+J140+J141</f>
        <v>232341860.80000001</v>
      </c>
      <c r="K143" s="46">
        <f t="shared" ref="K143:L143" si="69">+K8+K51+K81+K104+K137+K49+K50+K140+K141</f>
        <v>127801334.13</v>
      </c>
      <c r="L143" s="46">
        <f t="shared" si="69"/>
        <v>208044954.97</v>
      </c>
      <c r="M143" s="46">
        <f t="shared" si="68"/>
        <v>0</v>
      </c>
      <c r="N143" s="46">
        <f>+N8+N51+N81+N104+N137+N49+N50+N140+N141</f>
        <v>85675907.38000001</v>
      </c>
      <c r="O143" s="46">
        <f t="shared" ref="O143:P143" si="70">+O8+O51+O81+O104+O137+O49+O50+O140+O141</f>
        <v>43100165.269999996</v>
      </c>
      <c r="P143" s="46">
        <f t="shared" si="70"/>
        <v>42575742.109999999</v>
      </c>
      <c r="Q143" s="46">
        <f t="shared" si="68"/>
        <v>0</v>
      </c>
      <c r="R143" s="46">
        <f>+R8+R51+R81+R104+R137+R49+R50+R140+R141</f>
        <v>5894930790.0599995</v>
      </c>
      <c r="S143" s="46">
        <f t="shared" ref="S143:T143" si="71">+S8+S51+S81+S104+S137+S49+S50+S140+S141</f>
        <v>2295873976.8899999</v>
      </c>
      <c r="T143" s="46">
        <f t="shared" si="71"/>
        <v>3599056813.1700001</v>
      </c>
      <c r="U143" s="47">
        <f>+S143/R143</f>
        <v>0.38946580692029331</v>
      </c>
    </row>
    <row r="144" spans="2:21" ht="15.75" thickTop="1" thickBot="1">
      <c r="B144" s="49"/>
      <c r="C144" s="50"/>
      <c r="D144" s="50"/>
      <c r="E144" s="51"/>
      <c r="F144" s="52"/>
      <c r="G144" s="52"/>
      <c r="H144" s="52"/>
      <c r="I144" s="53"/>
      <c r="J144" s="54"/>
      <c r="K144" s="54"/>
      <c r="L144" s="54"/>
      <c r="M144" s="54"/>
      <c r="N144" s="54"/>
      <c r="O144" s="54"/>
      <c r="P144" s="54"/>
      <c r="Q144" s="53"/>
      <c r="R144" s="54"/>
      <c r="S144" s="54"/>
      <c r="T144" s="55"/>
      <c r="U144" s="56"/>
    </row>
    <row r="145" spans="6:20" ht="24.95" customHeight="1">
      <c r="F145" s="30">
        <f>+F143+J143</f>
        <v>5809254882.6800003</v>
      </c>
      <c r="G145" s="30">
        <f>+G143+K143</f>
        <v>2252773811.6200004</v>
      </c>
      <c r="H145" s="30">
        <f>+F145-G145</f>
        <v>3556481071.0599999</v>
      </c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6:20" ht="24.95" customHeight="1">
      <c r="F146" s="58" t="s">
        <v>126</v>
      </c>
      <c r="J146" s="58" t="s">
        <v>127</v>
      </c>
      <c r="K146" s="30"/>
      <c r="N146" s="58" t="s">
        <v>128</v>
      </c>
      <c r="R146" s="13"/>
      <c r="S146" s="13"/>
      <c r="T146" s="13"/>
    </row>
    <row r="147" spans="6:20" ht="24.95" customHeight="1">
      <c r="R147" s="13"/>
      <c r="S147" s="13"/>
      <c r="T147" s="13"/>
    </row>
    <row r="148" spans="6:20" ht="24.95" customHeight="1">
      <c r="F148" s="59" t="s">
        <v>129</v>
      </c>
      <c r="J148" s="59" t="s">
        <v>130</v>
      </c>
      <c r="N148" s="59" t="s">
        <v>131</v>
      </c>
      <c r="R148" s="30"/>
      <c r="S148" s="30"/>
      <c r="T148" s="30"/>
    </row>
    <row r="149" spans="6:20" ht="17.25" customHeight="1">
      <c r="F149" s="58" t="s">
        <v>132</v>
      </c>
      <c r="J149" s="58" t="s">
        <v>133</v>
      </c>
      <c r="N149" s="58" t="s">
        <v>134</v>
      </c>
    </row>
  </sheetData>
  <mergeCells count="11">
    <mergeCell ref="U5:U6"/>
    <mergeCell ref="C11:E11"/>
    <mergeCell ref="B1:T1"/>
    <mergeCell ref="B2:T2"/>
    <mergeCell ref="B3:T3"/>
    <mergeCell ref="B4:T4"/>
    <mergeCell ref="B5:E6"/>
    <mergeCell ref="F5:H5"/>
    <mergeCell ref="J5:L5"/>
    <mergeCell ref="N5:P5"/>
    <mergeCell ref="R5:T5"/>
  </mergeCells>
  <pageMargins left="1.25" right="0" top="0.36" bottom="0.3" header="0.27" footer="0.17"/>
  <pageSetup paperSize="5" scale="55" orientation="landscape" horizontalDpi="0" verticalDpi="0" r:id="rId1"/>
  <headerFooter>
    <oddFooter>&amp;R&amp;"-,Italic"&amp;8Page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Y149"/>
  <sheetViews>
    <sheetView zoomScale="75" zoomScaleNormal="75" workbookViewId="0">
      <pane xSplit="5" ySplit="6" topLeftCell="F38" activePane="bottomRight" state="frozen"/>
      <selection pane="topRight" activeCell="F1" sqref="F1"/>
      <selection pane="bottomLeft" activeCell="A7" sqref="A7"/>
      <selection pane="bottomRight" activeCell="G44" sqref="G44"/>
    </sheetView>
  </sheetViews>
  <sheetFormatPr defaultRowHeight="24.95" customHeight="1"/>
  <cols>
    <col min="1" max="4" width="2.7109375" style="2" customWidth="1"/>
    <col min="5" max="5" width="50.5703125" style="57" customWidth="1"/>
    <col min="6" max="7" width="19.28515625" style="2" customWidth="1"/>
    <col min="8" max="8" width="18.5703125" style="2" customWidth="1"/>
    <col min="9" max="9" width="0.7109375" style="2" customWidth="1"/>
    <col min="10" max="10" width="24" style="2" bestFit="1" customWidth="1"/>
    <col min="11" max="11" width="18.7109375" style="2" bestFit="1" customWidth="1"/>
    <col min="12" max="12" width="19.42578125" style="2" bestFit="1" customWidth="1"/>
    <col min="13" max="13" width="0.5703125" style="2" customWidth="1"/>
    <col min="14" max="15" width="18.7109375" style="2" bestFit="1" customWidth="1"/>
    <col min="16" max="16" width="16.5703125" style="2" customWidth="1"/>
    <col min="17" max="17" width="0.7109375" style="2" customWidth="1"/>
    <col min="18" max="19" width="19.85546875" style="2" bestFit="1" customWidth="1"/>
    <col min="20" max="20" width="18.7109375" style="2" bestFit="1" customWidth="1"/>
    <col min="21" max="21" width="14.5703125" style="1" customWidth="1"/>
    <col min="22" max="22" width="9.140625" style="2"/>
    <col min="23" max="23" width="13.140625" style="2" bestFit="1" customWidth="1"/>
    <col min="24" max="256" width="9.140625" style="2"/>
    <col min="257" max="260" width="2.7109375" style="2" customWidth="1"/>
    <col min="261" max="261" width="50.5703125" style="2" customWidth="1"/>
    <col min="262" max="263" width="19.28515625" style="2" customWidth="1"/>
    <col min="264" max="264" width="18.5703125" style="2" customWidth="1"/>
    <col min="265" max="265" width="0.7109375" style="2" customWidth="1"/>
    <col min="266" max="266" width="24" style="2" bestFit="1" customWidth="1"/>
    <col min="267" max="267" width="18.7109375" style="2" bestFit="1" customWidth="1"/>
    <col min="268" max="268" width="19.42578125" style="2" bestFit="1" customWidth="1"/>
    <col min="269" max="269" width="0.5703125" style="2" customWidth="1"/>
    <col min="270" max="271" width="18.7109375" style="2" bestFit="1" customWidth="1"/>
    <col min="272" max="272" width="16.5703125" style="2" customWidth="1"/>
    <col min="273" max="273" width="0.7109375" style="2" customWidth="1"/>
    <col min="274" max="275" width="19.85546875" style="2" bestFit="1" customWidth="1"/>
    <col min="276" max="276" width="18.7109375" style="2" bestFit="1" customWidth="1"/>
    <col min="277" max="277" width="14.5703125" style="2" customWidth="1"/>
    <col min="278" max="278" width="9.140625" style="2"/>
    <col min="279" max="279" width="13.140625" style="2" bestFit="1" customWidth="1"/>
    <col min="280" max="512" width="9.140625" style="2"/>
    <col min="513" max="516" width="2.7109375" style="2" customWidth="1"/>
    <col min="517" max="517" width="50.5703125" style="2" customWidth="1"/>
    <col min="518" max="519" width="19.28515625" style="2" customWidth="1"/>
    <col min="520" max="520" width="18.5703125" style="2" customWidth="1"/>
    <col min="521" max="521" width="0.7109375" style="2" customWidth="1"/>
    <col min="522" max="522" width="24" style="2" bestFit="1" customWidth="1"/>
    <col min="523" max="523" width="18.7109375" style="2" bestFit="1" customWidth="1"/>
    <col min="524" max="524" width="19.42578125" style="2" bestFit="1" customWidth="1"/>
    <col min="525" max="525" width="0.5703125" style="2" customWidth="1"/>
    <col min="526" max="527" width="18.7109375" style="2" bestFit="1" customWidth="1"/>
    <col min="528" max="528" width="16.5703125" style="2" customWidth="1"/>
    <col min="529" max="529" width="0.7109375" style="2" customWidth="1"/>
    <col min="530" max="531" width="19.85546875" style="2" bestFit="1" customWidth="1"/>
    <col min="532" max="532" width="18.7109375" style="2" bestFit="1" customWidth="1"/>
    <col min="533" max="533" width="14.5703125" style="2" customWidth="1"/>
    <col min="534" max="534" width="9.140625" style="2"/>
    <col min="535" max="535" width="13.140625" style="2" bestFit="1" customWidth="1"/>
    <col min="536" max="768" width="9.140625" style="2"/>
    <col min="769" max="772" width="2.7109375" style="2" customWidth="1"/>
    <col min="773" max="773" width="50.5703125" style="2" customWidth="1"/>
    <col min="774" max="775" width="19.28515625" style="2" customWidth="1"/>
    <col min="776" max="776" width="18.5703125" style="2" customWidth="1"/>
    <col min="777" max="777" width="0.7109375" style="2" customWidth="1"/>
    <col min="778" max="778" width="24" style="2" bestFit="1" customWidth="1"/>
    <col min="779" max="779" width="18.7109375" style="2" bestFit="1" customWidth="1"/>
    <col min="780" max="780" width="19.42578125" style="2" bestFit="1" customWidth="1"/>
    <col min="781" max="781" width="0.5703125" style="2" customWidth="1"/>
    <col min="782" max="783" width="18.7109375" style="2" bestFit="1" customWidth="1"/>
    <col min="784" max="784" width="16.5703125" style="2" customWidth="1"/>
    <col min="785" max="785" width="0.7109375" style="2" customWidth="1"/>
    <col min="786" max="787" width="19.85546875" style="2" bestFit="1" customWidth="1"/>
    <col min="788" max="788" width="18.7109375" style="2" bestFit="1" customWidth="1"/>
    <col min="789" max="789" width="14.5703125" style="2" customWidth="1"/>
    <col min="790" max="790" width="9.140625" style="2"/>
    <col min="791" max="791" width="13.140625" style="2" bestFit="1" customWidth="1"/>
    <col min="792" max="1024" width="9.140625" style="2"/>
    <col min="1025" max="1028" width="2.7109375" style="2" customWidth="1"/>
    <col min="1029" max="1029" width="50.5703125" style="2" customWidth="1"/>
    <col min="1030" max="1031" width="19.28515625" style="2" customWidth="1"/>
    <col min="1032" max="1032" width="18.5703125" style="2" customWidth="1"/>
    <col min="1033" max="1033" width="0.7109375" style="2" customWidth="1"/>
    <col min="1034" max="1034" width="24" style="2" bestFit="1" customWidth="1"/>
    <col min="1035" max="1035" width="18.7109375" style="2" bestFit="1" customWidth="1"/>
    <col min="1036" max="1036" width="19.42578125" style="2" bestFit="1" customWidth="1"/>
    <col min="1037" max="1037" width="0.5703125" style="2" customWidth="1"/>
    <col min="1038" max="1039" width="18.7109375" style="2" bestFit="1" customWidth="1"/>
    <col min="1040" max="1040" width="16.5703125" style="2" customWidth="1"/>
    <col min="1041" max="1041" width="0.7109375" style="2" customWidth="1"/>
    <col min="1042" max="1043" width="19.85546875" style="2" bestFit="1" customWidth="1"/>
    <col min="1044" max="1044" width="18.7109375" style="2" bestFit="1" customWidth="1"/>
    <col min="1045" max="1045" width="14.5703125" style="2" customWidth="1"/>
    <col min="1046" max="1046" width="9.140625" style="2"/>
    <col min="1047" max="1047" width="13.140625" style="2" bestFit="1" customWidth="1"/>
    <col min="1048" max="1280" width="9.140625" style="2"/>
    <col min="1281" max="1284" width="2.7109375" style="2" customWidth="1"/>
    <col min="1285" max="1285" width="50.5703125" style="2" customWidth="1"/>
    <col min="1286" max="1287" width="19.28515625" style="2" customWidth="1"/>
    <col min="1288" max="1288" width="18.5703125" style="2" customWidth="1"/>
    <col min="1289" max="1289" width="0.7109375" style="2" customWidth="1"/>
    <col min="1290" max="1290" width="24" style="2" bestFit="1" customWidth="1"/>
    <col min="1291" max="1291" width="18.7109375" style="2" bestFit="1" customWidth="1"/>
    <col min="1292" max="1292" width="19.42578125" style="2" bestFit="1" customWidth="1"/>
    <col min="1293" max="1293" width="0.5703125" style="2" customWidth="1"/>
    <col min="1294" max="1295" width="18.7109375" style="2" bestFit="1" customWidth="1"/>
    <col min="1296" max="1296" width="16.5703125" style="2" customWidth="1"/>
    <col min="1297" max="1297" width="0.7109375" style="2" customWidth="1"/>
    <col min="1298" max="1299" width="19.85546875" style="2" bestFit="1" customWidth="1"/>
    <col min="1300" max="1300" width="18.7109375" style="2" bestFit="1" customWidth="1"/>
    <col min="1301" max="1301" width="14.5703125" style="2" customWidth="1"/>
    <col min="1302" max="1302" width="9.140625" style="2"/>
    <col min="1303" max="1303" width="13.140625" style="2" bestFit="1" customWidth="1"/>
    <col min="1304" max="1536" width="9.140625" style="2"/>
    <col min="1537" max="1540" width="2.7109375" style="2" customWidth="1"/>
    <col min="1541" max="1541" width="50.5703125" style="2" customWidth="1"/>
    <col min="1542" max="1543" width="19.28515625" style="2" customWidth="1"/>
    <col min="1544" max="1544" width="18.5703125" style="2" customWidth="1"/>
    <col min="1545" max="1545" width="0.7109375" style="2" customWidth="1"/>
    <col min="1546" max="1546" width="24" style="2" bestFit="1" customWidth="1"/>
    <col min="1547" max="1547" width="18.7109375" style="2" bestFit="1" customWidth="1"/>
    <col min="1548" max="1548" width="19.42578125" style="2" bestFit="1" customWidth="1"/>
    <col min="1549" max="1549" width="0.5703125" style="2" customWidth="1"/>
    <col min="1550" max="1551" width="18.7109375" style="2" bestFit="1" customWidth="1"/>
    <col min="1552" max="1552" width="16.5703125" style="2" customWidth="1"/>
    <col min="1553" max="1553" width="0.7109375" style="2" customWidth="1"/>
    <col min="1554" max="1555" width="19.85546875" style="2" bestFit="1" customWidth="1"/>
    <col min="1556" max="1556" width="18.7109375" style="2" bestFit="1" customWidth="1"/>
    <col min="1557" max="1557" width="14.5703125" style="2" customWidth="1"/>
    <col min="1558" max="1558" width="9.140625" style="2"/>
    <col min="1559" max="1559" width="13.140625" style="2" bestFit="1" customWidth="1"/>
    <col min="1560" max="1792" width="9.140625" style="2"/>
    <col min="1793" max="1796" width="2.7109375" style="2" customWidth="1"/>
    <col min="1797" max="1797" width="50.5703125" style="2" customWidth="1"/>
    <col min="1798" max="1799" width="19.28515625" style="2" customWidth="1"/>
    <col min="1800" max="1800" width="18.5703125" style="2" customWidth="1"/>
    <col min="1801" max="1801" width="0.7109375" style="2" customWidth="1"/>
    <col min="1802" max="1802" width="24" style="2" bestFit="1" customWidth="1"/>
    <col min="1803" max="1803" width="18.7109375" style="2" bestFit="1" customWidth="1"/>
    <col min="1804" max="1804" width="19.42578125" style="2" bestFit="1" customWidth="1"/>
    <col min="1805" max="1805" width="0.5703125" style="2" customWidth="1"/>
    <col min="1806" max="1807" width="18.7109375" style="2" bestFit="1" customWidth="1"/>
    <col min="1808" max="1808" width="16.5703125" style="2" customWidth="1"/>
    <col min="1809" max="1809" width="0.7109375" style="2" customWidth="1"/>
    <col min="1810" max="1811" width="19.85546875" style="2" bestFit="1" customWidth="1"/>
    <col min="1812" max="1812" width="18.7109375" style="2" bestFit="1" customWidth="1"/>
    <col min="1813" max="1813" width="14.5703125" style="2" customWidth="1"/>
    <col min="1814" max="1814" width="9.140625" style="2"/>
    <col min="1815" max="1815" width="13.140625" style="2" bestFit="1" customWidth="1"/>
    <col min="1816" max="2048" width="9.140625" style="2"/>
    <col min="2049" max="2052" width="2.7109375" style="2" customWidth="1"/>
    <col min="2053" max="2053" width="50.5703125" style="2" customWidth="1"/>
    <col min="2054" max="2055" width="19.28515625" style="2" customWidth="1"/>
    <col min="2056" max="2056" width="18.5703125" style="2" customWidth="1"/>
    <col min="2057" max="2057" width="0.7109375" style="2" customWidth="1"/>
    <col min="2058" max="2058" width="24" style="2" bestFit="1" customWidth="1"/>
    <col min="2059" max="2059" width="18.7109375" style="2" bestFit="1" customWidth="1"/>
    <col min="2060" max="2060" width="19.42578125" style="2" bestFit="1" customWidth="1"/>
    <col min="2061" max="2061" width="0.5703125" style="2" customWidth="1"/>
    <col min="2062" max="2063" width="18.7109375" style="2" bestFit="1" customWidth="1"/>
    <col min="2064" max="2064" width="16.5703125" style="2" customWidth="1"/>
    <col min="2065" max="2065" width="0.7109375" style="2" customWidth="1"/>
    <col min="2066" max="2067" width="19.85546875" style="2" bestFit="1" customWidth="1"/>
    <col min="2068" max="2068" width="18.7109375" style="2" bestFit="1" customWidth="1"/>
    <col min="2069" max="2069" width="14.5703125" style="2" customWidth="1"/>
    <col min="2070" max="2070" width="9.140625" style="2"/>
    <col min="2071" max="2071" width="13.140625" style="2" bestFit="1" customWidth="1"/>
    <col min="2072" max="2304" width="9.140625" style="2"/>
    <col min="2305" max="2308" width="2.7109375" style="2" customWidth="1"/>
    <col min="2309" max="2309" width="50.5703125" style="2" customWidth="1"/>
    <col min="2310" max="2311" width="19.28515625" style="2" customWidth="1"/>
    <col min="2312" max="2312" width="18.5703125" style="2" customWidth="1"/>
    <col min="2313" max="2313" width="0.7109375" style="2" customWidth="1"/>
    <col min="2314" max="2314" width="24" style="2" bestFit="1" customWidth="1"/>
    <col min="2315" max="2315" width="18.7109375" style="2" bestFit="1" customWidth="1"/>
    <col min="2316" max="2316" width="19.42578125" style="2" bestFit="1" customWidth="1"/>
    <col min="2317" max="2317" width="0.5703125" style="2" customWidth="1"/>
    <col min="2318" max="2319" width="18.7109375" style="2" bestFit="1" customWidth="1"/>
    <col min="2320" max="2320" width="16.5703125" style="2" customWidth="1"/>
    <col min="2321" max="2321" width="0.7109375" style="2" customWidth="1"/>
    <col min="2322" max="2323" width="19.85546875" style="2" bestFit="1" customWidth="1"/>
    <col min="2324" max="2324" width="18.7109375" style="2" bestFit="1" customWidth="1"/>
    <col min="2325" max="2325" width="14.5703125" style="2" customWidth="1"/>
    <col min="2326" max="2326" width="9.140625" style="2"/>
    <col min="2327" max="2327" width="13.140625" style="2" bestFit="1" customWidth="1"/>
    <col min="2328" max="2560" width="9.140625" style="2"/>
    <col min="2561" max="2564" width="2.7109375" style="2" customWidth="1"/>
    <col min="2565" max="2565" width="50.5703125" style="2" customWidth="1"/>
    <col min="2566" max="2567" width="19.28515625" style="2" customWidth="1"/>
    <col min="2568" max="2568" width="18.5703125" style="2" customWidth="1"/>
    <col min="2569" max="2569" width="0.7109375" style="2" customWidth="1"/>
    <col min="2570" max="2570" width="24" style="2" bestFit="1" customWidth="1"/>
    <col min="2571" max="2571" width="18.7109375" style="2" bestFit="1" customWidth="1"/>
    <col min="2572" max="2572" width="19.42578125" style="2" bestFit="1" customWidth="1"/>
    <col min="2573" max="2573" width="0.5703125" style="2" customWidth="1"/>
    <col min="2574" max="2575" width="18.7109375" style="2" bestFit="1" customWidth="1"/>
    <col min="2576" max="2576" width="16.5703125" style="2" customWidth="1"/>
    <col min="2577" max="2577" width="0.7109375" style="2" customWidth="1"/>
    <col min="2578" max="2579" width="19.85546875" style="2" bestFit="1" customWidth="1"/>
    <col min="2580" max="2580" width="18.7109375" style="2" bestFit="1" customWidth="1"/>
    <col min="2581" max="2581" width="14.5703125" style="2" customWidth="1"/>
    <col min="2582" max="2582" width="9.140625" style="2"/>
    <col min="2583" max="2583" width="13.140625" style="2" bestFit="1" customWidth="1"/>
    <col min="2584" max="2816" width="9.140625" style="2"/>
    <col min="2817" max="2820" width="2.7109375" style="2" customWidth="1"/>
    <col min="2821" max="2821" width="50.5703125" style="2" customWidth="1"/>
    <col min="2822" max="2823" width="19.28515625" style="2" customWidth="1"/>
    <col min="2824" max="2824" width="18.5703125" style="2" customWidth="1"/>
    <col min="2825" max="2825" width="0.7109375" style="2" customWidth="1"/>
    <col min="2826" max="2826" width="24" style="2" bestFit="1" customWidth="1"/>
    <col min="2827" max="2827" width="18.7109375" style="2" bestFit="1" customWidth="1"/>
    <col min="2828" max="2828" width="19.42578125" style="2" bestFit="1" customWidth="1"/>
    <col min="2829" max="2829" width="0.5703125" style="2" customWidth="1"/>
    <col min="2830" max="2831" width="18.7109375" style="2" bestFit="1" customWidth="1"/>
    <col min="2832" max="2832" width="16.5703125" style="2" customWidth="1"/>
    <col min="2833" max="2833" width="0.7109375" style="2" customWidth="1"/>
    <col min="2834" max="2835" width="19.85546875" style="2" bestFit="1" customWidth="1"/>
    <col min="2836" max="2836" width="18.7109375" style="2" bestFit="1" customWidth="1"/>
    <col min="2837" max="2837" width="14.5703125" style="2" customWidth="1"/>
    <col min="2838" max="2838" width="9.140625" style="2"/>
    <col min="2839" max="2839" width="13.140625" style="2" bestFit="1" customWidth="1"/>
    <col min="2840" max="3072" width="9.140625" style="2"/>
    <col min="3073" max="3076" width="2.7109375" style="2" customWidth="1"/>
    <col min="3077" max="3077" width="50.5703125" style="2" customWidth="1"/>
    <col min="3078" max="3079" width="19.28515625" style="2" customWidth="1"/>
    <col min="3080" max="3080" width="18.5703125" style="2" customWidth="1"/>
    <col min="3081" max="3081" width="0.7109375" style="2" customWidth="1"/>
    <col min="3082" max="3082" width="24" style="2" bestFit="1" customWidth="1"/>
    <col min="3083" max="3083" width="18.7109375" style="2" bestFit="1" customWidth="1"/>
    <col min="3084" max="3084" width="19.42578125" style="2" bestFit="1" customWidth="1"/>
    <col min="3085" max="3085" width="0.5703125" style="2" customWidth="1"/>
    <col min="3086" max="3087" width="18.7109375" style="2" bestFit="1" customWidth="1"/>
    <col min="3088" max="3088" width="16.5703125" style="2" customWidth="1"/>
    <col min="3089" max="3089" width="0.7109375" style="2" customWidth="1"/>
    <col min="3090" max="3091" width="19.85546875" style="2" bestFit="1" customWidth="1"/>
    <col min="3092" max="3092" width="18.7109375" style="2" bestFit="1" customWidth="1"/>
    <col min="3093" max="3093" width="14.5703125" style="2" customWidth="1"/>
    <col min="3094" max="3094" width="9.140625" style="2"/>
    <col min="3095" max="3095" width="13.140625" style="2" bestFit="1" customWidth="1"/>
    <col min="3096" max="3328" width="9.140625" style="2"/>
    <col min="3329" max="3332" width="2.7109375" style="2" customWidth="1"/>
    <col min="3333" max="3333" width="50.5703125" style="2" customWidth="1"/>
    <col min="3334" max="3335" width="19.28515625" style="2" customWidth="1"/>
    <col min="3336" max="3336" width="18.5703125" style="2" customWidth="1"/>
    <col min="3337" max="3337" width="0.7109375" style="2" customWidth="1"/>
    <col min="3338" max="3338" width="24" style="2" bestFit="1" customWidth="1"/>
    <col min="3339" max="3339" width="18.7109375" style="2" bestFit="1" customWidth="1"/>
    <col min="3340" max="3340" width="19.42578125" style="2" bestFit="1" customWidth="1"/>
    <col min="3341" max="3341" width="0.5703125" style="2" customWidth="1"/>
    <col min="3342" max="3343" width="18.7109375" style="2" bestFit="1" customWidth="1"/>
    <col min="3344" max="3344" width="16.5703125" style="2" customWidth="1"/>
    <col min="3345" max="3345" width="0.7109375" style="2" customWidth="1"/>
    <col min="3346" max="3347" width="19.85546875" style="2" bestFit="1" customWidth="1"/>
    <col min="3348" max="3348" width="18.7109375" style="2" bestFit="1" customWidth="1"/>
    <col min="3349" max="3349" width="14.5703125" style="2" customWidth="1"/>
    <col min="3350" max="3350" width="9.140625" style="2"/>
    <col min="3351" max="3351" width="13.140625" style="2" bestFit="1" customWidth="1"/>
    <col min="3352" max="3584" width="9.140625" style="2"/>
    <col min="3585" max="3588" width="2.7109375" style="2" customWidth="1"/>
    <col min="3589" max="3589" width="50.5703125" style="2" customWidth="1"/>
    <col min="3590" max="3591" width="19.28515625" style="2" customWidth="1"/>
    <col min="3592" max="3592" width="18.5703125" style="2" customWidth="1"/>
    <col min="3593" max="3593" width="0.7109375" style="2" customWidth="1"/>
    <col min="3594" max="3594" width="24" style="2" bestFit="1" customWidth="1"/>
    <col min="3595" max="3595" width="18.7109375" style="2" bestFit="1" customWidth="1"/>
    <col min="3596" max="3596" width="19.42578125" style="2" bestFit="1" customWidth="1"/>
    <col min="3597" max="3597" width="0.5703125" style="2" customWidth="1"/>
    <col min="3598" max="3599" width="18.7109375" style="2" bestFit="1" customWidth="1"/>
    <col min="3600" max="3600" width="16.5703125" style="2" customWidth="1"/>
    <col min="3601" max="3601" width="0.7109375" style="2" customWidth="1"/>
    <col min="3602" max="3603" width="19.85546875" style="2" bestFit="1" customWidth="1"/>
    <col min="3604" max="3604" width="18.7109375" style="2" bestFit="1" customWidth="1"/>
    <col min="3605" max="3605" width="14.5703125" style="2" customWidth="1"/>
    <col min="3606" max="3606" width="9.140625" style="2"/>
    <col min="3607" max="3607" width="13.140625" style="2" bestFit="1" customWidth="1"/>
    <col min="3608" max="3840" width="9.140625" style="2"/>
    <col min="3841" max="3844" width="2.7109375" style="2" customWidth="1"/>
    <col min="3845" max="3845" width="50.5703125" style="2" customWidth="1"/>
    <col min="3846" max="3847" width="19.28515625" style="2" customWidth="1"/>
    <col min="3848" max="3848" width="18.5703125" style="2" customWidth="1"/>
    <col min="3849" max="3849" width="0.7109375" style="2" customWidth="1"/>
    <col min="3850" max="3850" width="24" style="2" bestFit="1" customWidth="1"/>
    <col min="3851" max="3851" width="18.7109375" style="2" bestFit="1" customWidth="1"/>
    <col min="3852" max="3852" width="19.42578125" style="2" bestFit="1" customWidth="1"/>
    <col min="3853" max="3853" width="0.5703125" style="2" customWidth="1"/>
    <col min="3854" max="3855" width="18.7109375" style="2" bestFit="1" customWidth="1"/>
    <col min="3856" max="3856" width="16.5703125" style="2" customWidth="1"/>
    <col min="3857" max="3857" width="0.7109375" style="2" customWidth="1"/>
    <col min="3858" max="3859" width="19.85546875" style="2" bestFit="1" customWidth="1"/>
    <col min="3860" max="3860" width="18.7109375" style="2" bestFit="1" customWidth="1"/>
    <col min="3861" max="3861" width="14.5703125" style="2" customWidth="1"/>
    <col min="3862" max="3862" width="9.140625" style="2"/>
    <col min="3863" max="3863" width="13.140625" style="2" bestFit="1" customWidth="1"/>
    <col min="3864" max="4096" width="9.140625" style="2"/>
    <col min="4097" max="4100" width="2.7109375" style="2" customWidth="1"/>
    <col min="4101" max="4101" width="50.5703125" style="2" customWidth="1"/>
    <col min="4102" max="4103" width="19.28515625" style="2" customWidth="1"/>
    <col min="4104" max="4104" width="18.5703125" style="2" customWidth="1"/>
    <col min="4105" max="4105" width="0.7109375" style="2" customWidth="1"/>
    <col min="4106" max="4106" width="24" style="2" bestFit="1" customWidth="1"/>
    <col min="4107" max="4107" width="18.7109375" style="2" bestFit="1" customWidth="1"/>
    <col min="4108" max="4108" width="19.42578125" style="2" bestFit="1" customWidth="1"/>
    <col min="4109" max="4109" width="0.5703125" style="2" customWidth="1"/>
    <col min="4110" max="4111" width="18.7109375" style="2" bestFit="1" customWidth="1"/>
    <col min="4112" max="4112" width="16.5703125" style="2" customWidth="1"/>
    <col min="4113" max="4113" width="0.7109375" style="2" customWidth="1"/>
    <col min="4114" max="4115" width="19.85546875" style="2" bestFit="1" customWidth="1"/>
    <col min="4116" max="4116" width="18.7109375" style="2" bestFit="1" customWidth="1"/>
    <col min="4117" max="4117" width="14.5703125" style="2" customWidth="1"/>
    <col min="4118" max="4118" width="9.140625" style="2"/>
    <col min="4119" max="4119" width="13.140625" style="2" bestFit="1" customWidth="1"/>
    <col min="4120" max="4352" width="9.140625" style="2"/>
    <col min="4353" max="4356" width="2.7109375" style="2" customWidth="1"/>
    <col min="4357" max="4357" width="50.5703125" style="2" customWidth="1"/>
    <col min="4358" max="4359" width="19.28515625" style="2" customWidth="1"/>
    <col min="4360" max="4360" width="18.5703125" style="2" customWidth="1"/>
    <col min="4361" max="4361" width="0.7109375" style="2" customWidth="1"/>
    <col min="4362" max="4362" width="24" style="2" bestFit="1" customWidth="1"/>
    <col min="4363" max="4363" width="18.7109375" style="2" bestFit="1" customWidth="1"/>
    <col min="4364" max="4364" width="19.42578125" style="2" bestFit="1" customWidth="1"/>
    <col min="4365" max="4365" width="0.5703125" style="2" customWidth="1"/>
    <col min="4366" max="4367" width="18.7109375" style="2" bestFit="1" customWidth="1"/>
    <col min="4368" max="4368" width="16.5703125" style="2" customWidth="1"/>
    <col min="4369" max="4369" width="0.7109375" style="2" customWidth="1"/>
    <col min="4370" max="4371" width="19.85546875" style="2" bestFit="1" customWidth="1"/>
    <col min="4372" max="4372" width="18.7109375" style="2" bestFit="1" customWidth="1"/>
    <col min="4373" max="4373" width="14.5703125" style="2" customWidth="1"/>
    <col min="4374" max="4374" width="9.140625" style="2"/>
    <col min="4375" max="4375" width="13.140625" style="2" bestFit="1" customWidth="1"/>
    <col min="4376" max="4608" width="9.140625" style="2"/>
    <col min="4609" max="4612" width="2.7109375" style="2" customWidth="1"/>
    <col min="4613" max="4613" width="50.5703125" style="2" customWidth="1"/>
    <col min="4614" max="4615" width="19.28515625" style="2" customWidth="1"/>
    <col min="4616" max="4616" width="18.5703125" style="2" customWidth="1"/>
    <col min="4617" max="4617" width="0.7109375" style="2" customWidth="1"/>
    <col min="4618" max="4618" width="24" style="2" bestFit="1" customWidth="1"/>
    <col min="4619" max="4619" width="18.7109375" style="2" bestFit="1" customWidth="1"/>
    <col min="4620" max="4620" width="19.42578125" style="2" bestFit="1" customWidth="1"/>
    <col min="4621" max="4621" width="0.5703125" style="2" customWidth="1"/>
    <col min="4622" max="4623" width="18.7109375" style="2" bestFit="1" customWidth="1"/>
    <col min="4624" max="4624" width="16.5703125" style="2" customWidth="1"/>
    <col min="4625" max="4625" width="0.7109375" style="2" customWidth="1"/>
    <col min="4626" max="4627" width="19.85546875" style="2" bestFit="1" customWidth="1"/>
    <col min="4628" max="4628" width="18.7109375" style="2" bestFit="1" customWidth="1"/>
    <col min="4629" max="4629" width="14.5703125" style="2" customWidth="1"/>
    <col min="4630" max="4630" width="9.140625" style="2"/>
    <col min="4631" max="4631" width="13.140625" style="2" bestFit="1" customWidth="1"/>
    <col min="4632" max="4864" width="9.140625" style="2"/>
    <col min="4865" max="4868" width="2.7109375" style="2" customWidth="1"/>
    <col min="4869" max="4869" width="50.5703125" style="2" customWidth="1"/>
    <col min="4870" max="4871" width="19.28515625" style="2" customWidth="1"/>
    <col min="4872" max="4872" width="18.5703125" style="2" customWidth="1"/>
    <col min="4873" max="4873" width="0.7109375" style="2" customWidth="1"/>
    <col min="4874" max="4874" width="24" style="2" bestFit="1" customWidth="1"/>
    <col min="4875" max="4875" width="18.7109375" style="2" bestFit="1" customWidth="1"/>
    <col min="4876" max="4876" width="19.42578125" style="2" bestFit="1" customWidth="1"/>
    <col min="4877" max="4877" width="0.5703125" style="2" customWidth="1"/>
    <col min="4878" max="4879" width="18.7109375" style="2" bestFit="1" customWidth="1"/>
    <col min="4880" max="4880" width="16.5703125" style="2" customWidth="1"/>
    <col min="4881" max="4881" width="0.7109375" style="2" customWidth="1"/>
    <col min="4882" max="4883" width="19.85546875" style="2" bestFit="1" customWidth="1"/>
    <col min="4884" max="4884" width="18.7109375" style="2" bestFit="1" customWidth="1"/>
    <col min="4885" max="4885" width="14.5703125" style="2" customWidth="1"/>
    <col min="4886" max="4886" width="9.140625" style="2"/>
    <col min="4887" max="4887" width="13.140625" style="2" bestFit="1" customWidth="1"/>
    <col min="4888" max="5120" width="9.140625" style="2"/>
    <col min="5121" max="5124" width="2.7109375" style="2" customWidth="1"/>
    <col min="5125" max="5125" width="50.5703125" style="2" customWidth="1"/>
    <col min="5126" max="5127" width="19.28515625" style="2" customWidth="1"/>
    <col min="5128" max="5128" width="18.5703125" style="2" customWidth="1"/>
    <col min="5129" max="5129" width="0.7109375" style="2" customWidth="1"/>
    <col min="5130" max="5130" width="24" style="2" bestFit="1" customWidth="1"/>
    <col min="5131" max="5131" width="18.7109375" style="2" bestFit="1" customWidth="1"/>
    <col min="5132" max="5132" width="19.42578125" style="2" bestFit="1" customWidth="1"/>
    <col min="5133" max="5133" width="0.5703125" style="2" customWidth="1"/>
    <col min="5134" max="5135" width="18.7109375" style="2" bestFit="1" customWidth="1"/>
    <col min="5136" max="5136" width="16.5703125" style="2" customWidth="1"/>
    <col min="5137" max="5137" width="0.7109375" style="2" customWidth="1"/>
    <col min="5138" max="5139" width="19.85546875" style="2" bestFit="1" customWidth="1"/>
    <col min="5140" max="5140" width="18.7109375" style="2" bestFit="1" customWidth="1"/>
    <col min="5141" max="5141" width="14.5703125" style="2" customWidth="1"/>
    <col min="5142" max="5142" width="9.140625" style="2"/>
    <col min="5143" max="5143" width="13.140625" style="2" bestFit="1" customWidth="1"/>
    <col min="5144" max="5376" width="9.140625" style="2"/>
    <col min="5377" max="5380" width="2.7109375" style="2" customWidth="1"/>
    <col min="5381" max="5381" width="50.5703125" style="2" customWidth="1"/>
    <col min="5382" max="5383" width="19.28515625" style="2" customWidth="1"/>
    <col min="5384" max="5384" width="18.5703125" style="2" customWidth="1"/>
    <col min="5385" max="5385" width="0.7109375" style="2" customWidth="1"/>
    <col min="5386" max="5386" width="24" style="2" bestFit="1" customWidth="1"/>
    <col min="5387" max="5387" width="18.7109375" style="2" bestFit="1" customWidth="1"/>
    <col min="5388" max="5388" width="19.42578125" style="2" bestFit="1" customWidth="1"/>
    <col min="5389" max="5389" width="0.5703125" style="2" customWidth="1"/>
    <col min="5390" max="5391" width="18.7109375" style="2" bestFit="1" customWidth="1"/>
    <col min="5392" max="5392" width="16.5703125" style="2" customWidth="1"/>
    <col min="5393" max="5393" width="0.7109375" style="2" customWidth="1"/>
    <col min="5394" max="5395" width="19.85546875" style="2" bestFit="1" customWidth="1"/>
    <col min="5396" max="5396" width="18.7109375" style="2" bestFit="1" customWidth="1"/>
    <col min="5397" max="5397" width="14.5703125" style="2" customWidth="1"/>
    <col min="5398" max="5398" width="9.140625" style="2"/>
    <col min="5399" max="5399" width="13.140625" style="2" bestFit="1" customWidth="1"/>
    <col min="5400" max="5632" width="9.140625" style="2"/>
    <col min="5633" max="5636" width="2.7109375" style="2" customWidth="1"/>
    <col min="5637" max="5637" width="50.5703125" style="2" customWidth="1"/>
    <col min="5638" max="5639" width="19.28515625" style="2" customWidth="1"/>
    <col min="5640" max="5640" width="18.5703125" style="2" customWidth="1"/>
    <col min="5641" max="5641" width="0.7109375" style="2" customWidth="1"/>
    <col min="5642" max="5642" width="24" style="2" bestFit="1" customWidth="1"/>
    <col min="5643" max="5643" width="18.7109375" style="2" bestFit="1" customWidth="1"/>
    <col min="5644" max="5644" width="19.42578125" style="2" bestFit="1" customWidth="1"/>
    <col min="5645" max="5645" width="0.5703125" style="2" customWidth="1"/>
    <col min="5646" max="5647" width="18.7109375" style="2" bestFit="1" customWidth="1"/>
    <col min="5648" max="5648" width="16.5703125" style="2" customWidth="1"/>
    <col min="5649" max="5649" width="0.7109375" style="2" customWidth="1"/>
    <col min="5650" max="5651" width="19.85546875" style="2" bestFit="1" customWidth="1"/>
    <col min="5652" max="5652" width="18.7109375" style="2" bestFit="1" customWidth="1"/>
    <col min="5653" max="5653" width="14.5703125" style="2" customWidth="1"/>
    <col min="5654" max="5654" width="9.140625" style="2"/>
    <col min="5655" max="5655" width="13.140625" style="2" bestFit="1" customWidth="1"/>
    <col min="5656" max="5888" width="9.140625" style="2"/>
    <col min="5889" max="5892" width="2.7109375" style="2" customWidth="1"/>
    <col min="5893" max="5893" width="50.5703125" style="2" customWidth="1"/>
    <col min="5894" max="5895" width="19.28515625" style="2" customWidth="1"/>
    <col min="5896" max="5896" width="18.5703125" style="2" customWidth="1"/>
    <col min="5897" max="5897" width="0.7109375" style="2" customWidth="1"/>
    <col min="5898" max="5898" width="24" style="2" bestFit="1" customWidth="1"/>
    <col min="5899" max="5899" width="18.7109375" style="2" bestFit="1" customWidth="1"/>
    <col min="5900" max="5900" width="19.42578125" style="2" bestFit="1" customWidth="1"/>
    <col min="5901" max="5901" width="0.5703125" style="2" customWidth="1"/>
    <col min="5902" max="5903" width="18.7109375" style="2" bestFit="1" customWidth="1"/>
    <col min="5904" max="5904" width="16.5703125" style="2" customWidth="1"/>
    <col min="5905" max="5905" width="0.7109375" style="2" customWidth="1"/>
    <col min="5906" max="5907" width="19.85546875" style="2" bestFit="1" customWidth="1"/>
    <col min="5908" max="5908" width="18.7109375" style="2" bestFit="1" customWidth="1"/>
    <col min="5909" max="5909" width="14.5703125" style="2" customWidth="1"/>
    <col min="5910" max="5910" width="9.140625" style="2"/>
    <col min="5911" max="5911" width="13.140625" style="2" bestFit="1" customWidth="1"/>
    <col min="5912" max="6144" width="9.140625" style="2"/>
    <col min="6145" max="6148" width="2.7109375" style="2" customWidth="1"/>
    <col min="6149" max="6149" width="50.5703125" style="2" customWidth="1"/>
    <col min="6150" max="6151" width="19.28515625" style="2" customWidth="1"/>
    <col min="6152" max="6152" width="18.5703125" style="2" customWidth="1"/>
    <col min="6153" max="6153" width="0.7109375" style="2" customWidth="1"/>
    <col min="6154" max="6154" width="24" style="2" bestFit="1" customWidth="1"/>
    <col min="6155" max="6155" width="18.7109375" style="2" bestFit="1" customWidth="1"/>
    <col min="6156" max="6156" width="19.42578125" style="2" bestFit="1" customWidth="1"/>
    <col min="6157" max="6157" width="0.5703125" style="2" customWidth="1"/>
    <col min="6158" max="6159" width="18.7109375" style="2" bestFit="1" customWidth="1"/>
    <col min="6160" max="6160" width="16.5703125" style="2" customWidth="1"/>
    <col min="6161" max="6161" width="0.7109375" style="2" customWidth="1"/>
    <col min="6162" max="6163" width="19.85546875" style="2" bestFit="1" customWidth="1"/>
    <col min="6164" max="6164" width="18.7109375" style="2" bestFit="1" customWidth="1"/>
    <col min="6165" max="6165" width="14.5703125" style="2" customWidth="1"/>
    <col min="6166" max="6166" width="9.140625" style="2"/>
    <col min="6167" max="6167" width="13.140625" style="2" bestFit="1" customWidth="1"/>
    <col min="6168" max="6400" width="9.140625" style="2"/>
    <col min="6401" max="6404" width="2.7109375" style="2" customWidth="1"/>
    <col min="6405" max="6405" width="50.5703125" style="2" customWidth="1"/>
    <col min="6406" max="6407" width="19.28515625" style="2" customWidth="1"/>
    <col min="6408" max="6408" width="18.5703125" style="2" customWidth="1"/>
    <col min="6409" max="6409" width="0.7109375" style="2" customWidth="1"/>
    <col min="6410" max="6410" width="24" style="2" bestFit="1" customWidth="1"/>
    <col min="6411" max="6411" width="18.7109375" style="2" bestFit="1" customWidth="1"/>
    <col min="6412" max="6412" width="19.42578125" style="2" bestFit="1" customWidth="1"/>
    <col min="6413" max="6413" width="0.5703125" style="2" customWidth="1"/>
    <col min="6414" max="6415" width="18.7109375" style="2" bestFit="1" customWidth="1"/>
    <col min="6416" max="6416" width="16.5703125" style="2" customWidth="1"/>
    <col min="6417" max="6417" width="0.7109375" style="2" customWidth="1"/>
    <col min="6418" max="6419" width="19.85546875" style="2" bestFit="1" customWidth="1"/>
    <col min="6420" max="6420" width="18.7109375" style="2" bestFit="1" customWidth="1"/>
    <col min="6421" max="6421" width="14.5703125" style="2" customWidth="1"/>
    <col min="6422" max="6422" width="9.140625" style="2"/>
    <col min="6423" max="6423" width="13.140625" style="2" bestFit="1" customWidth="1"/>
    <col min="6424" max="6656" width="9.140625" style="2"/>
    <col min="6657" max="6660" width="2.7109375" style="2" customWidth="1"/>
    <col min="6661" max="6661" width="50.5703125" style="2" customWidth="1"/>
    <col min="6662" max="6663" width="19.28515625" style="2" customWidth="1"/>
    <col min="6664" max="6664" width="18.5703125" style="2" customWidth="1"/>
    <col min="6665" max="6665" width="0.7109375" style="2" customWidth="1"/>
    <col min="6666" max="6666" width="24" style="2" bestFit="1" customWidth="1"/>
    <col min="6667" max="6667" width="18.7109375" style="2" bestFit="1" customWidth="1"/>
    <col min="6668" max="6668" width="19.42578125" style="2" bestFit="1" customWidth="1"/>
    <col min="6669" max="6669" width="0.5703125" style="2" customWidth="1"/>
    <col min="6670" max="6671" width="18.7109375" style="2" bestFit="1" customWidth="1"/>
    <col min="6672" max="6672" width="16.5703125" style="2" customWidth="1"/>
    <col min="6673" max="6673" width="0.7109375" style="2" customWidth="1"/>
    <col min="6674" max="6675" width="19.85546875" style="2" bestFit="1" customWidth="1"/>
    <col min="6676" max="6676" width="18.7109375" style="2" bestFit="1" customWidth="1"/>
    <col min="6677" max="6677" width="14.5703125" style="2" customWidth="1"/>
    <col min="6678" max="6678" width="9.140625" style="2"/>
    <col min="6679" max="6679" width="13.140625" style="2" bestFit="1" customWidth="1"/>
    <col min="6680" max="6912" width="9.140625" style="2"/>
    <col min="6913" max="6916" width="2.7109375" style="2" customWidth="1"/>
    <col min="6917" max="6917" width="50.5703125" style="2" customWidth="1"/>
    <col min="6918" max="6919" width="19.28515625" style="2" customWidth="1"/>
    <col min="6920" max="6920" width="18.5703125" style="2" customWidth="1"/>
    <col min="6921" max="6921" width="0.7109375" style="2" customWidth="1"/>
    <col min="6922" max="6922" width="24" style="2" bestFit="1" customWidth="1"/>
    <col min="6923" max="6923" width="18.7109375" style="2" bestFit="1" customWidth="1"/>
    <col min="6924" max="6924" width="19.42578125" style="2" bestFit="1" customWidth="1"/>
    <col min="6925" max="6925" width="0.5703125" style="2" customWidth="1"/>
    <col min="6926" max="6927" width="18.7109375" style="2" bestFit="1" customWidth="1"/>
    <col min="6928" max="6928" width="16.5703125" style="2" customWidth="1"/>
    <col min="6929" max="6929" width="0.7109375" style="2" customWidth="1"/>
    <col min="6930" max="6931" width="19.85546875" style="2" bestFit="1" customWidth="1"/>
    <col min="6932" max="6932" width="18.7109375" style="2" bestFit="1" customWidth="1"/>
    <col min="6933" max="6933" width="14.5703125" style="2" customWidth="1"/>
    <col min="6934" max="6934" width="9.140625" style="2"/>
    <col min="6935" max="6935" width="13.140625" style="2" bestFit="1" customWidth="1"/>
    <col min="6936" max="7168" width="9.140625" style="2"/>
    <col min="7169" max="7172" width="2.7109375" style="2" customWidth="1"/>
    <col min="7173" max="7173" width="50.5703125" style="2" customWidth="1"/>
    <col min="7174" max="7175" width="19.28515625" style="2" customWidth="1"/>
    <col min="7176" max="7176" width="18.5703125" style="2" customWidth="1"/>
    <col min="7177" max="7177" width="0.7109375" style="2" customWidth="1"/>
    <col min="7178" max="7178" width="24" style="2" bestFit="1" customWidth="1"/>
    <col min="7179" max="7179" width="18.7109375" style="2" bestFit="1" customWidth="1"/>
    <col min="7180" max="7180" width="19.42578125" style="2" bestFit="1" customWidth="1"/>
    <col min="7181" max="7181" width="0.5703125" style="2" customWidth="1"/>
    <col min="7182" max="7183" width="18.7109375" style="2" bestFit="1" customWidth="1"/>
    <col min="7184" max="7184" width="16.5703125" style="2" customWidth="1"/>
    <col min="7185" max="7185" width="0.7109375" style="2" customWidth="1"/>
    <col min="7186" max="7187" width="19.85546875" style="2" bestFit="1" customWidth="1"/>
    <col min="7188" max="7188" width="18.7109375" style="2" bestFit="1" customWidth="1"/>
    <col min="7189" max="7189" width="14.5703125" style="2" customWidth="1"/>
    <col min="7190" max="7190" width="9.140625" style="2"/>
    <col min="7191" max="7191" width="13.140625" style="2" bestFit="1" customWidth="1"/>
    <col min="7192" max="7424" width="9.140625" style="2"/>
    <col min="7425" max="7428" width="2.7109375" style="2" customWidth="1"/>
    <col min="7429" max="7429" width="50.5703125" style="2" customWidth="1"/>
    <col min="7430" max="7431" width="19.28515625" style="2" customWidth="1"/>
    <col min="7432" max="7432" width="18.5703125" style="2" customWidth="1"/>
    <col min="7433" max="7433" width="0.7109375" style="2" customWidth="1"/>
    <col min="7434" max="7434" width="24" style="2" bestFit="1" customWidth="1"/>
    <col min="7435" max="7435" width="18.7109375" style="2" bestFit="1" customWidth="1"/>
    <col min="7436" max="7436" width="19.42578125" style="2" bestFit="1" customWidth="1"/>
    <col min="7437" max="7437" width="0.5703125" style="2" customWidth="1"/>
    <col min="7438" max="7439" width="18.7109375" style="2" bestFit="1" customWidth="1"/>
    <col min="7440" max="7440" width="16.5703125" style="2" customWidth="1"/>
    <col min="7441" max="7441" width="0.7109375" style="2" customWidth="1"/>
    <col min="7442" max="7443" width="19.85546875" style="2" bestFit="1" customWidth="1"/>
    <col min="7444" max="7444" width="18.7109375" style="2" bestFit="1" customWidth="1"/>
    <col min="7445" max="7445" width="14.5703125" style="2" customWidth="1"/>
    <col min="7446" max="7446" width="9.140625" style="2"/>
    <col min="7447" max="7447" width="13.140625" style="2" bestFit="1" customWidth="1"/>
    <col min="7448" max="7680" width="9.140625" style="2"/>
    <col min="7681" max="7684" width="2.7109375" style="2" customWidth="1"/>
    <col min="7685" max="7685" width="50.5703125" style="2" customWidth="1"/>
    <col min="7686" max="7687" width="19.28515625" style="2" customWidth="1"/>
    <col min="7688" max="7688" width="18.5703125" style="2" customWidth="1"/>
    <col min="7689" max="7689" width="0.7109375" style="2" customWidth="1"/>
    <col min="7690" max="7690" width="24" style="2" bestFit="1" customWidth="1"/>
    <col min="7691" max="7691" width="18.7109375" style="2" bestFit="1" customWidth="1"/>
    <col min="7692" max="7692" width="19.42578125" style="2" bestFit="1" customWidth="1"/>
    <col min="7693" max="7693" width="0.5703125" style="2" customWidth="1"/>
    <col min="7694" max="7695" width="18.7109375" style="2" bestFit="1" customWidth="1"/>
    <col min="7696" max="7696" width="16.5703125" style="2" customWidth="1"/>
    <col min="7697" max="7697" width="0.7109375" style="2" customWidth="1"/>
    <col min="7698" max="7699" width="19.85546875" style="2" bestFit="1" customWidth="1"/>
    <col min="7700" max="7700" width="18.7109375" style="2" bestFit="1" customWidth="1"/>
    <col min="7701" max="7701" width="14.5703125" style="2" customWidth="1"/>
    <col min="7702" max="7702" width="9.140625" style="2"/>
    <col min="7703" max="7703" width="13.140625" style="2" bestFit="1" customWidth="1"/>
    <col min="7704" max="7936" width="9.140625" style="2"/>
    <col min="7937" max="7940" width="2.7109375" style="2" customWidth="1"/>
    <col min="7941" max="7941" width="50.5703125" style="2" customWidth="1"/>
    <col min="7942" max="7943" width="19.28515625" style="2" customWidth="1"/>
    <col min="7944" max="7944" width="18.5703125" style="2" customWidth="1"/>
    <col min="7945" max="7945" width="0.7109375" style="2" customWidth="1"/>
    <col min="7946" max="7946" width="24" style="2" bestFit="1" customWidth="1"/>
    <col min="7947" max="7947" width="18.7109375" style="2" bestFit="1" customWidth="1"/>
    <col min="7948" max="7948" width="19.42578125" style="2" bestFit="1" customWidth="1"/>
    <col min="7949" max="7949" width="0.5703125" style="2" customWidth="1"/>
    <col min="7950" max="7951" width="18.7109375" style="2" bestFit="1" customWidth="1"/>
    <col min="7952" max="7952" width="16.5703125" style="2" customWidth="1"/>
    <col min="7953" max="7953" width="0.7109375" style="2" customWidth="1"/>
    <col min="7954" max="7955" width="19.85546875" style="2" bestFit="1" customWidth="1"/>
    <col min="7956" max="7956" width="18.7109375" style="2" bestFit="1" customWidth="1"/>
    <col min="7957" max="7957" width="14.5703125" style="2" customWidth="1"/>
    <col min="7958" max="7958" width="9.140625" style="2"/>
    <col min="7959" max="7959" width="13.140625" style="2" bestFit="1" customWidth="1"/>
    <col min="7960" max="8192" width="9.140625" style="2"/>
    <col min="8193" max="8196" width="2.7109375" style="2" customWidth="1"/>
    <col min="8197" max="8197" width="50.5703125" style="2" customWidth="1"/>
    <col min="8198" max="8199" width="19.28515625" style="2" customWidth="1"/>
    <col min="8200" max="8200" width="18.5703125" style="2" customWidth="1"/>
    <col min="8201" max="8201" width="0.7109375" style="2" customWidth="1"/>
    <col min="8202" max="8202" width="24" style="2" bestFit="1" customWidth="1"/>
    <col min="8203" max="8203" width="18.7109375" style="2" bestFit="1" customWidth="1"/>
    <col min="8204" max="8204" width="19.42578125" style="2" bestFit="1" customWidth="1"/>
    <col min="8205" max="8205" width="0.5703125" style="2" customWidth="1"/>
    <col min="8206" max="8207" width="18.7109375" style="2" bestFit="1" customWidth="1"/>
    <col min="8208" max="8208" width="16.5703125" style="2" customWidth="1"/>
    <col min="8209" max="8209" width="0.7109375" style="2" customWidth="1"/>
    <col min="8210" max="8211" width="19.85546875" style="2" bestFit="1" customWidth="1"/>
    <col min="8212" max="8212" width="18.7109375" style="2" bestFit="1" customWidth="1"/>
    <col min="8213" max="8213" width="14.5703125" style="2" customWidth="1"/>
    <col min="8214" max="8214" width="9.140625" style="2"/>
    <col min="8215" max="8215" width="13.140625" style="2" bestFit="1" customWidth="1"/>
    <col min="8216" max="8448" width="9.140625" style="2"/>
    <col min="8449" max="8452" width="2.7109375" style="2" customWidth="1"/>
    <col min="8453" max="8453" width="50.5703125" style="2" customWidth="1"/>
    <col min="8454" max="8455" width="19.28515625" style="2" customWidth="1"/>
    <col min="8456" max="8456" width="18.5703125" style="2" customWidth="1"/>
    <col min="8457" max="8457" width="0.7109375" style="2" customWidth="1"/>
    <col min="8458" max="8458" width="24" style="2" bestFit="1" customWidth="1"/>
    <col min="8459" max="8459" width="18.7109375" style="2" bestFit="1" customWidth="1"/>
    <col min="8460" max="8460" width="19.42578125" style="2" bestFit="1" customWidth="1"/>
    <col min="8461" max="8461" width="0.5703125" style="2" customWidth="1"/>
    <col min="8462" max="8463" width="18.7109375" style="2" bestFit="1" customWidth="1"/>
    <col min="8464" max="8464" width="16.5703125" style="2" customWidth="1"/>
    <col min="8465" max="8465" width="0.7109375" style="2" customWidth="1"/>
    <col min="8466" max="8467" width="19.85546875" style="2" bestFit="1" customWidth="1"/>
    <col min="8468" max="8468" width="18.7109375" style="2" bestFit="1" customWidth="1"/>
    <col min="8469" max="8469" width="14.5703125" style="2" customWidth="1"/>
    <col min="8470" max="8470" width="9.140625" style="2"/>
    <col min="8471" max="8471" width="13.140625" style="2" bestFit="1" customWidth="1"/>
    <col min="8472" max="8704" width="9.140625" style="2"/>
    <col min="8705" max="8708" width="2.7109375" style="2" customWidth="1"/>
    <col min="8709" max="8709" width="50.5703125" style="2" customWidth="1"/>
    <col min="8710" max="8711" width="19.28515625" style="2" customWidth="1"/>
    <col min="8712" max="8712" width="18.5703125" style="2" customWidth="1"/>
    <col min="8713" max="8713" width="0.7109375" style="2" customWidth="1"/>
    <col min="8714" max="8714" width="24" style="2" bestFit="1" customWidth="1"/>
    <col min="8715" max="8715" width="18.7109375" style="2" bestFit="1" customWidth="1"/>
    <col min="8716" max="8716" width="19.42578125" style="2" bestFit="1" customWidth="1"/>
    <col min="8717" max="8717" width="0.5703125" style="2" customWidth="1"/>
    <col min="8718" max="8719" width="18.7109375" style="2" bestFit="1" customWidth="1"/>
    <col min="8720" max="8720" width="16.5703125" style="2" customWidth="1"/>
    <col min="8721" max="8721" width="0.7109375" style="2" customWidth="1"/>
    <col min="8722" max="8723" width="19.85546875" style="2" bestFit="1" customWidth="1"/>
    <col min="8724" max="8724" width="18.7109375" style="2" bestFit="1" customWidth="1"/>
    <col min="8725" max="8725" width="14.5703125" style="2" customWidth="1"/>
    <col min="8726" max="8726" width="9.140625" style="2"/>
    <col min="8727" max="8727" width="13.140625" style="2" bestFit="1" customWidth="1"/>
    <col min="8728" max="8960" width="9.140625" style="2"/>
    <col min="8961" max="8964" width="2.7109375" style="2" customWidth="1"/>
    <col min="8965" max="8965" width="50.5703125" style="2" customWidth="1"/>
    <col min="8966" max="8967" width="19.28515625" style="2" customWidth="1"/>
    <col min="8968" max="8968" width="18.5703125" style="2" customWidth="1"/>
    <col min="8969" max="8969" width="0.7109375" style="2" customWidth="1"/>
    <col min="8970" max="8970" width="24" style="2" bestFit="1" customWidth="1"/>
    <col min="8971" max="8971" width="18.7109375" style="2" bestFit="1" customWidth="1"/>
    <col min="8972" max="8972" width="19.42578125" style="2" bestFit="1" customWidth="1"/>
    <col min="8973" max="8973" width="0.5703125" style="2" customWidth="1"/>
    <col min="8974" max="8975" width="18.7109375" style="2" bestFit="1" customWidth="1"/>
    <col min="8976" max="8976" width="16.5703125" style="2" customWidth="1"/>
    <col min="8977" max="8977" width="0.7109375" style="2" customWidth="1"/>
    <col min="8978" max="8979" width="19.85546875" style="2" bestFit="1" customWidth="1"/>
    <col min="8980" max="8980" width="18.7109375" style="2" bestFit="1" customWidth="1"/>
    <col min="8981" max="8981" width="14.5703125" style="2" customWidth="1"/>
    <col min="8982" max="8982" width="9.140625" style="2"/>
    <col min="8983" max="8983" width="13.140625" style="2" bestFit="1" customWidth="1"/>
    <col min="8984" max="9216" width="9.140625" style="2"/>
    <col min="9217" max="9220" width="2.7109375" style="2" customWidth="1"/>
    <col min="9221" max="9221" width="50.5703125" style="2" customWidth="1"/>
    <col min="9222" max="9223" width="19.28515625" style="2" customWidth="1"/>
    <col min="9224" max="9224" width="18.5703125" style="2" customWidth="1"/>
    <col min="9225" max="9225" width="0.7109375" style="2" customWidth="1"/>
    <col min="9226" max="9226" width="24" style="2" bestFit="1" customWidth="1"/>
    <col min="9227" max="9227" width="18.7109375" style="2" bestFit="1" customWidth="1"/>
    <col min="9228" max="9228" width="19.42578125" style="2" bestFit="1" customWidth="1"/>
    <col min="9229" max="9229" width="0.5703125" style="2" customWidth="1"/>
    <col min="9230" max="9231" width="18.7109375" style="2" bestFit="1" customWidth="1"/>
    <col min="9232" max="9232" width="16.5703125" style="2" customWidth="1"/>
    <col min="9233" max="9233" width="0.7109375" style="2" customWidth="1"/>
    <col min="9234" max="9235" width="19.85546875" style="2" bestFit="1" customWidth="1"/>
    <col min="9236" max="9236" width="18.7109375" style="2" bestFit="1" customWidth="1"/>
    <col min="9237" max="9237" width="14.5703125" style="2" customWidth="1"/>
    <col min="9238" max="9238" width="9.140625" style="2"/>
    <col min="9239" max="9239" width="13.140625" style="2" bestFit="1" customWidth="1"/>
    <col min="9240" max="9472" width="9.140625" style="2"/>
    <col min="9473" max="9476" width="2.7109375" style="2" customWidth="1"/>
    <col min="9477" max="9477" width="50.5703125" style="2" customWidth="1"/>
    <col min="9478" max="9479" width="19.28515625" style="2" customWidth="1"/>
    <col min="9480" max="9480" width="18.5703125" style="2" customWidth="1"/>
    <col min="9481" max="9481" width="0.7109375" style="2" customWidth="1"/>
    <col min="9482" max="9482" width="24" style="2" bestFit="1" customWidth="1"/>
    <col min="9483" max="9483" width="18.7109375" style="2" bestFit="1" customWidth="1"/>
    <col min="9484" max="9484" width="19.42578125" style="2" bestFit="1" customWidth="1"/>
    <col min="9485" max="9485" width="0.5703125" style="2" customWidth="1"/>
    <col min="9486" max="9487" width="18.7109375" style="2" bestFit="1" customWidth="1"/>
    <col min="9488" max="9488" width="16.5703125" style="2" customWidth="1"/>
    <col min="9489" max="9489" width="0.7109375" style="2" customWidth="1"/>
    <col min="9490" max="9491" width="19.85546875" style="2" bestFit="1" customWidth="1"/>
    <col min="9492" max="9492" width="18.7109375" style="2" bestFit="1" customWidth="1"/>
    <col min="9493" max="9493" width="14.5703125" style="2" customWidth="1"/>
    <col min="9494" max="9494" width="9.140625" style="2"/>
    <col min="9495" max="9495" width="13.140625" style="2" bestFit="1" customWidth="1"/>
    <col min="9496" max="9728" width="9.140625" style="2"/>
    <col min="9729" max="9732" width="2.7109375" style="2" customWidth="1"/>
    <col min="9733" max="9733" width="50.5703125" style="2" customWidth="1"/>
    <col min="9734" max="9735" width="19.28515625" style="2" customWidth="1"/>
    <col min="9736" max="9736" width="18.5703125" style="2" customWidth="1"/>
    <col min="9737" max="9737" width="0.7109375" style="2" customWidth="1"/>
    <col min="9738" max="9738" width="24" style="2" bestFit="1" customWidth="1"/>
    <col min="9739" max="9739" width="18.7109375" style="2" bestFit="1" customWidth="1"/>
    <col min="9740" max="9740" width="19.42578125" style="2" bestFit="1" customWidth="1"/>
    <col min="9741" max="9741" width="0.5703125" style="2" customWidth="1"/>
    <col min="9742" max="9743" width="18.7109375" style="2" bestFit="1" customWidth="1"/>
    <col min="9744" max="9744" width="16.5703125" style="2" customWidth="1"/>
    <col min="9745" max="9745" width="0.7109375" style="2" customWidth="1"/>
    <col min="9746" max="9747" width="19.85546875" style="2" bestFit="1" customWidth="1"/>
    <col min="9748" max="9748" width="18.7109375" style="2" bestFit="1" customWidth="1"/>
    <col min="9749" max="9749" width="14.5703125" style="2" customWidth="1"/>
    <col min="9750" max="9750" width="9.140625" style="2"/>
    <col min="9751" max="9751" width="13.140625" style="2" bestFit="1" customWidth="1"/>
    <col min="9752" max="9984" width="9.140625" style="2"/>
    <col min="9985" max="9988" width="2.7109375" style="2" customWidth="1"/>
    <col min="9989" max="9989" width="50.5703125" style="2" customWidth="1"/>
    <col min="9990" max="9991" width="19.28515625" style="2" customWidth="1"/>
    <col min="9992" max="9992" width="18.5703125" style="2" customWidth="1"/>
    <col min="9993" max="9993" width="0.7109375" style="2" customWidth="1"/>
    <col min="9994" max="9994" width="24" style="2" bestFit="1" customWidth="1"/>
    <col min="9995" max="9995" width="18.7109375" style="2" bestFit="1" customWidth="1"/>
    <col min="9996" max="9996" width="19.42578125" style="2" bestFit="1" customWidth="1"/>
    <col min="9997" max="9997" width="0.5703125" style="2" customWidth="1"/>
    <col min="9998" max="9999" width="18.7109375" style="2" bestFit="1" customWidth="1"/>
    <col min="10000" max="10000" width="16.5703125" style="2" customWidth="1"/>
    <col min="10001" max="10001" width="0.7109375" style="2" customWidth="1"/>
    <col min="10002" max="10003" width="19.85546875" style="2" bestFit="1" customWidth="1"/>
    <col min="10004" max="10004" width="18.7109375" style="2" bestFit="1" customWidth="1"/>
    <col min="10005" max="10005" width="14.5703125" style="2" customWidth="1"/>
    <col min="10006" max="10006" width="9.140625" style="2"/>
    <col min="10007" max="10007" width="13.140625" style="2" bestFit="1" customWidth="1"/>
    <col min="10008" max="10240" width="9.140625" style="2"/>
    <col min="10241" max="10244" width="2.7109375" style="2" customWidth="1"/>
    <col min="10245" max="10245" width="50.5703125" style="2" customWidth="1"/>
    <col min="10246" max="10247" width="19.28515625" style="2" customWidth="1"/>
    <col min="10248" max="10248" width="18.5703125" style="2" customWidth="1"/>
    <col min="10249" max="10249" width="0.7109375" style="2" customWidth="1"/>
    <col min="10250" max="10250" width="24" style="2" bestFit="1" customWidth="1"/>
    <col min="10251" max="10251" width="18.7109375" style="2" bestFit="1" customWidth="1"/>
    <col min="10252" max="10252" width="19.42578125" style="2" bestFit="1" customWidth="1"/>
    <col min="10253" max="10253" width="0.5703125" style="2" customWidth="1"/>
    <col min="10254" max="10255" width="18.7109375" style="2" bestFit="1" customWidth="1"/>
    <col min="10256" max="10256" width="16.5703125" style="2" customWidth="1"/>
    <col min="10257" max="10257" width="0.7109375" style="2" customWidth="1"/>
    <col min="10258" max="10259" width="19.85546875" style="2" bestFit="1" customWidth="1"/>
    <col min="10260" max="10260" width="18.7109375" style="2" bestFit="1" customWidth="1"/>
    <col min="10261" max="10261" width="14.5703125" style="2" customWidth="1"/>
    <col min="10262" max="10262" width="9.140625" style="2"/>
    <col min="10263" max="10263" width="13.140625" style="2" bestFit="1" customWidth="1"/>
    <col min="10264" max="10496" width="9.140625" style="2"/>
    <col min="10497" max="10500" width="2.7109375" style="2" customWidth="1"/>
    <col min="10501" max="10501" width="50.5703125" style="2" customWidth="1"/>
    <col min="10502" max="10503" width="19.28515625" style="2" customWidth="1"/>
    <col min="10504" max="10504" width="18.5703125" style="2" customWidth="1"/>
    <col min="10505" max="10505" width="0.7109375" style="2" customWidth="1"/>
    <col min="10506" max="10506" width="24" style="2" bestFit="1" customWidth="1"/>
    <col min="10507" max="10507" width="18.7109375" style="2" bestFit="1" customWidth="1"/>
    <col min="10508" max="10508" width="19.42578125" style="2" bestFit="1" customWidth="1"/>
    <col min="10509" max="10509" width="0.5703125" style="2" customWidth="1"/>
    <col min="10510" max="10511" width="18.7109375" style="2" bestFit="1" customWidth="1"/>
    <col min="10512" max="10512" width="16.5703125" style="2" customWidth="1"/>
    <col min="10513" max="10513" width="0.7109375" style="2" customWidth="1"/>
    <col min="10514" max="10515" width="19.85546875" style="2" bestFit="1" customWidth="1"/>
    <col min="10516" max="10516" width="18.7109375" style="2" bestFit="1" customWidth="1"/>
    <col min="10517" max="10517" width="14.5703125" style="2" customWidth="1"/>
    <col min="10518" max="10518" width="9.140625" style="2"/>
    <col min="10519" max="10519" width="13.140625" style="2" bestFit="1" customWidth="1"/>
    <col min="10520" max="10752" width="9.140625" style="2"/>
    <col min="10753" max="10756" width="2.7109375" style="2" customWidth="1"/>
    <col min="10757" max="10757" width="50.5703125" style="2" customWidth="1"/>
    <col min="10758" max="10759" width="19.28515625" style="2" customWidth="1"/>
    <col min="10760" max="10760" width="18.5703125" style="2" customWidth="1"/>
    <col min="10761" max="10761" width="0.7109375" style="2" customWidth="1"/>
    <col min="10762" max="10762" width="24" style="2" bestFit="1" customWidth="1"/>
    <col min="10763" max="10763" width="18.7109375" style="2" bestFit="1" customWidth="1"/>
    <col min="10764" max="10764" width="19.42578125" style="2" bestFit="1" customWidth="1"/>
    <col min="10765" max="10765" width="0.5703125" style="2" customWidth="1"/>
    <col min="10766" max="10767" width="18.7109375" style="2" bestFit="1" customWidth="1"/>
    <col min="10768" max="10768" width="16.5703125" style="2" customWidth="1"/>
    <col min="10769" max="10769" width="0.7109375" style="2" customWidth="1"/>
    <col min="10770" max="10771" width="19.85546875" style="2" bestFit="1" customWidth="1"/>
    <col min="10772" max="10772" width="18.7109375" style="2" bestFit="1" customWidth="1"/>
    <col min="10773" max="10773" width="14.5703125" style="2" customWidth="1"/>
    <col min="10774" max="10774" width="9.140625" style="2"/>
    <col min="10775" max="10775" width="13.140625" style="2" bestFit="1" customWidth="1"/>
    <col min="10776" max="11008" width="9.140625" style="2"/>
    <col min="11009" max="11012" width="2.7109375" style="2" customWidth="1"/>
    <col min="11013" max="11013" width="50.5703125" style="2" customWidth="1"/>
    <col min="11014" max="11015" width="19.28515625" style="2" customWidth="1"/>
    <col min="11016" max="11016" width="18.5703125" style="2" customWidth="1"/>
    <col min="11017" max="11017" width="0.7109375" style="2" customWidth="1"/>
    <col min="11018" max="11018" width="24" style="2" bestFit="1" customWidth="1"/>
    <col min="11019" max="11019" width="18.7109375" style="2" bestFit="1" customWidth="1"/>
    <col min="11020" max="11020" width="19.42578125" style="2" bestFit="1" customWidth="1"/>
    <col min="11021" max="11021" width="0.5703125" style="2" customWidth="1"/>
    <col min="11022" max="11023" width="18.7109375" style="2" bestFit="1" customWidth="1"/>
    <col min="11024" max="11024" width="16.5703125" style="2" customWidth="1"/>
    <col min="11025" max="11025" width="0.7109375" style="2" customWidth="1"/>
    <col min="11026" max="11027" width="19.85546875" style="2" bestFit="1" customWidth="1"/>
    <col min="11028" max="11028" width="18.7109375" style="2" bestFit="1" customWidth="1"/>
    <col min="11029" max="11029" width="14.5703125" style="2" customWidth="1"/>
    <col min="11030" max="11030" width="9.140625" style="2"/>
    <col min="11031" max="11031" width="13.140625" style="2" bestFit="1" customWidth="1"/>
    <col min="11032" max="11264" width="9.140625" style="2"/>
    <col min="11265" max="11268" width="2.7109375" style="2" customWidth="1"/>
    <col min="11269" max="11269" width="50.5703125" style="2" customWidth="1"/>
    <col min="11270" max="11271" width="19.28515625" style="2" customWidth="1"/>
    <col min="11272" max="11272" width="18.5703125" style="2" customWidth="1"/>
    <col min="11273" max="11273" width="0.7109375" style="2" customWidth="1"/>
    <col min="11274" max="11274" width="24" style="2" bestFit="1" customWidth="1"/>
    <col min="11275" max="11275" width="18.7109375" style="2" bestFit="1" customWidth="1"/>
    <col min="11276" max="11276" width="19.42578125" style="2" bestFit="1" customWidth="1"/>
    <col min="11277" max="11277" width="0.5703125" style="2" customWidth="1"/>
    <col min="11278" max="11279" width="18.7109375" style="2" bestFit="1" customWidth="1"/>
    <col min="11280" max="11280" width="16.5703125" style="2" customWidth="1"/>
    <col min="11281" max="11281" width="0.7109375" style="2" customWidth="1"/>
    <col min="11282" max="11283" width="19.85546875" style="2" bestFit="1" customWidth="1"/>
    <col min="11284" max="11284" width="18.7109375" style="2" bestFit="1" customWidth="1"/>
    <col min="11285" max="11285" width="14.5703125" style="2" customWidth="1"/>
    <col min="11286" max="11286" width="9.140625" style="2"/>
    <col min="11287" max="11287" width="13.140625" style="2" bestFit="1" customWidth="1"/>
    <col min="11288" max="11520" width="9.140625" style="2"/>
    <col min="11521" max="11524" width="2.7109375" style="2" customWidth="1"/>
    <col min="11525" max="11525" width="50.5703125" style="2" customWidth="1"/>
    <col min="11526" max="11527" width="19.28515625" style="2" customWidth="1"/>
    <col min="11528" max="11528" width="18.5703125" style="2" customWidth="1"/>
    <col min="11529" max="11529" width="0.7109375" style="2" customWidth="1"/>
    <col min="11530" max="11530" width="24" style="2" bestFit="1" customWidth="1"/>
    <col min="11531" max="11531" width="18.7109375" style="2" bestFit="1" customWidth="1"/>
    <col min="11532" max="11532" width="19.42578125" style="2" bestFit="1" customWidth="1"/>
    <col min="11533" max="11533" width="0.5703125" style="2" customWidth="1"/>
    <col min="11534" max="11535" width="18.7109375" style="2" bestFit="1" customWidth="1"/>
    <col min="11536" max="11536" width="16.5703125" style="2" customWidth="1"/>
    <col min="11537" max="11537" width="0.7109375" style="2" customWidth="1"/>
    <col min="11538" max="11539" width="19.85546875" style="2" bestFit="1" customWidth="1"/>
    <col min="11540" max="11540" width="18.7109375" style="2" bestFit="1" customWidth="1"/>
    <col min="11541" max="11541" width="14.5703125" style="2" customWidth="1"/>
    <col min="11542" max="11542" width="9.140625" style="2"/>
    <col min="11543" max="11543" width="13.140625" style="2" bestFit="1" customWidth="1"/>
    <col min="11544" max="11776" width="9.140625" style="2"/>
    <col min="11777" max="11780" width="2.7109375" style="2" customWidth="1"/>
    <col min="11781" max="11781" width="50.5703125" style="2" customWidth="1"/>
    <col min="11782" max="11783" width="19.28515625" style="2" customWidth="1"/>
    <col min="11784" max="11784" width="18.5703125" style="2" customWidth="1"/>
    <col min="11785" max="11785" width="0.7109375" style="2" customWidth="1"/>
    <col min="11786" max="11786" width="24" style="2" bestFit="1" customWidth="1"/>
    <col min="11787" max="11787" width="18.7109375" style="2" bestFit="1" customWidth="1"/>
    <col min="11788" max="11788" width="19.42578125" style="2" bestFit="1" customWidth="1"/>
    <col min="11789" max="11789" width="0.5703125" style="2" customWidth="1"/>
    <col min="11790" max="11791" width="18.7109375" style="2" bestFit="1" customWidth="1"/>
    <col min="11792" max="11792" width="16.5703125" style="2" customWidth="1"/>
    <col min="11793" max="11793" width="0.7109375" style="2" customWidth="1"/>
    <col min="11794" max="11795" width="19.85546875" style="2" bestFit="1" customWidth="1"/>
    <col min="11796" max="11796" width="18.7109375" style="2" bestFit="1" customWidth="1"/>
    <col min="11797" max="11797" width="14.5703125" style="2" customWidth="1"/>
    <col min="11798" max="11798" width="9.140625" style="2"/>
    <col min="11799" max="11799" width="13.140625" style="2" bestFit="1" customWidth="1"/>
    <col min="11800" max="12032" width="9.140625" style="2"/>
    <col min="12033" max="12036" width="2.7109375" style="2" customWidth="1"/>
    <col min="12037" max="12037" width="50.5703125" style="2" customWidth="1"/>
    <col min="12038" max="12039" width="19.28515625" style="2" customWidth="1"/>
    <col min="12040" max="12040" width="18.5703125" style="2" customWidth="1"/>
    <col min="12041" max="12041" width="0.7109375" style="2" customWidth="1"/>
    <col min="12042" max="12042" width="24" style="2" bestFit="1" customWidth="1"/>
    <col min="12043" max="12043" width="18.7109375" style="2" bestFit="1" customWidth="1"/>
    <col min="12044" max="12044" width="19.42578125" style="2" bestFit="1" customWidth="1"/>
    <col min="12045" max="12045" width="0.5703125" style="2" customWidth="1"/>
    <col min="12046" max="12047" width="18.7109375" style="2" bestFit="1" customWidth="1"/>
    <col min="12048" max="12048" width="16.5703125" style="2" customWidth="1"/>
    <col min="12049" max="12049" width="0.7109375" style="2" customWidth="1"/>
    <col min="12050" max="12051" width="19.85546875" style="2" bestFit="1" customWidth="1"/>
    <col min="12052" max="12052" width="18.7109375" style="2" bestFit="1" customWidth="1"/>
    <col min="12053" max="12053" width="14.5703125" style="2" customWidth="1"/>
    <col min="12054" max="12054" width="9.140625" style="2"/>
    <col min="12055" max="12055" width="13.140625" style="2" bestFit="1" customWidth="1"/>
    <col min="12056" max="12288" width="9.140625" style="2"/>
    <col min="12289" max="12292" width="2.7109375" style="2" customWidth="1"/>
    <col min="12293" max="12293" width="50.5703125" style="2" customWidth="1"/>
    <col min="12294" max="12295" width="19.28515625" style="2" customWidth="1"/>
    <col min="12296" max="12296" width="18.5703125" style="2" customWidth="1"/>
    <col min="12297" max="12297" width="0.7109375" style="2" customWidth="1"/>
    <col min="12298" max="12298" width="24" style="2" bestFit="1" customWidth="1"/>
    <col min="12299" max="12299" width="18.7109375" style="2" bestFit="1" customWidth="1"/>
    <col min="12300" max="12300" width="19.42578125" style="2" bestFit="1" customWidth="1"/>
    <col min="12301" max="12301" width="0.5703125" style="2" customWidth="1"/>
    <col min="12302" max="12303" width="18.7109375" style="2" bestFit="1" customWidth="1"/>
    <col min="12304" max="12304" width="16.5703125" style="2" customWidth="1"/>
    <col min="12305" max="12305" width="0.7109375" style="2" customWidth="1"/>
    <col min="12306" max="12307" width="19.85546875" style="2" bestFit="1" customWidth="1"/>
    <col min="12308" max="12308" width="18.7109375" style="2" bestFit="1" customWidth="1"/>
    <col min="12309" max="12309" width="14.5703125" style="2" customWidth="1"/>
    <col min="12310" max="12310" width="9.140625" style="2"/>
    <col min="12311" max="12311" width="13.140625" style="2" bestFit="1" customWidth="1"/>
    <col min="12312" max="12544" width="9.140625" style="2"/>
    <col min="12545" max="12548" width="2.7109375" style="2" customWidth="1"/>
    <col min="12549" max="12549" width="50.5703125" style="2" customWidth="1"/>
    <col min="12550" max="12551" width="19.28515625" style="2" customWidth="1"/>
    <col min="12552" max="12552" width="18.5703125" style="2" customWidth="1"/>
    <col min="12553" max="12553" width="0.7109375" style="2" customWidth="1"/>
    <col min="12554" max="12554" width="24" style="2" bestFit="1" customWidth="1"/>
    <col min="12555" max="12555" width="18.7109375" style="2" bestFit="1" customWidth="1"/>
    <col min="12556" max="12556" width="19.42578125" style="2" bestFit="1" customWidth="1"/>
    <col min="12557" max="12557" width="0.5703125" style="2" customWidth="1"/>
    <col min="12558" max="12559" width="18.7109375" style="2" bestFit="1" customWidth="1"/>
    <col min="12560" max="12560" width="16.5703125" style="2" customWidth="1"/>
    <col min="12561" max="12561" width="0.7109375" style="2" customWidth="1"/>
    <col min="12562" max="12563" width="19.85546875" style="2" bestFit="1" customWidth="1"/>
    <col min="12564" max="12564" width="18.7109375" style="2" bestFit="1" customWidth="1"/>
    <col min="12565" max="12565" width="14.5703125" style="2" customWidth="1"/>
    <col min="12566" max="12566" width="9.140625" style="2"/>
    <col min="12567" max="12567" width="13.140625" style="2" bestFit="1" customWidth="1"/>
    <col min="12568" max="12800" width="9.140625" style="2"/>
    <col min="12801" max="12804" width="2.7109375" style="2" customWidth="1"/>
    <col min="12805" max="12805" width="50.5703125" style="2" customWidth="1"/>
    <col min="12806" max="12807" width="19.28515625" style="2" customWidth="1"/>
    <col min="12808" max="12808" width="18.5703125" style="2" customWidth="1"/>
    <col min="12809" max="12809" width="0.7109375" style="2" customWidth="1"/>
    <col min="12810" max="12810" width="24" style="2" bestFit="1" customWidth="1"/>
    <col min="12811" max="12811" width="18.7109375" style="2" bestFit="1" customWidth="1"/>
    <col min="12812" max="12812" width="19.42578125" style="2" bestFit="1" customWidth="1"/>
    <col min="12813" max="12813" width="0.5703125" style="2" customWidth="1"/>
    <col min="12814" max="12815" width="18.7109375" style="2" bestFit="1" customWidth="1"/>
    <col min="12816" max="12816" width="16.5703125" style="2" customWidth="1"/>
    <col min="12817" max="12817" width="0.7109375" style="2" customWidth="1"/>
    <col min="12818" max="12819" width="19.85546875" style="2" bestFit="1" customWidth="1"/>
    <col min="12820" max="12820" width="18.7109375" style="2" bestFit="1" customWidth="1"/>
    <col min="12821" max="12821" width="14.5703125" style="2" customWidth="1"/>
    <col min="12822" max="12822" width="9.140625" style="2"/>
    <col min="12823" max="12823" width="13.140625" style="2" bestFit="1" customWidth="1"/>
    <col min="12824" max="13056" width="9.140625" style="2"/>
    <col min="13057" max="13060" width="2.7109375" style="2" customWidth="1"/>
    <col min="13061" max="13061" width="50.5703125" style="2" customWidth="1"/>
    <col min="13062" max="13063" width="19.28515625" style="2" customWidth="1"/>
    <col min="13064" max="13064" width="18.5703125" style="2" customWidth="1"/>
    <col min="13065" max="13065" width="0.7109375" style="2" customWidth="1"/>
    <col min="13066" max="13066" width="24" style="2" bestFit="1" customWidth="1"/>
    <col min="13067" max="13067" width="18.7109375" style="2" bestFit="1" customWidth="1"/>
    <col min="13068" max="13068" width="19.42578125" style="2" bestFit="1" customWidth="1"/>
    <col min="13069" max="13069" width="0.5703125" style="2" customWidth="1"/>
    <col min="13070" max="13071" width="18.7109375" style="2" bestFit="1" customWidth="1"/>
    <col min="13072" max="13072" width="16.5703125" style="2" customWidth="1"/>
    <col min="13073" max="13073" width="0.7109375" style="2" customWidth="1"/>
    <col min="13074" max="13075" width="19.85546875" style="2" bestFit="1" customWidth="1"/>
    <col min="13076" max="13076" width="18.7109375" style="2" bestFit="1" customWidth="1"/>
    <col min="13077" max="13077" width="14.5703125" style="2" customWidth="1"/>
    <col min="13078" max="13078" width="9.140625" style="2"/>
    <col min="13079" max="13079" width="13.140625" style="2" bestFit="1" customWidth="1"/>
    <col min="13080" max="13312" width="9.140625" style="2"/>
    <col min="13313" max="13316" width="2.7109375" style="2" customWidth="1"/>
    <col min="13317" max="13317" width="50.5703125" style="2" customWidth="1"/>
    <col min="13318" max="13319" width="19.28515625" style="2" customWidth="1"/>
    <col min="13320" max="13320" width="18.5703125" style="2" customWidth="1"/>
    <col min="13321" max="13321" width="0.7109375" style="2" customWidth="1"/>
    <col min="13322" max="13322" width="24" style="2" bestFit="1" customWidth="1"/>
    <col min="13323" max="13323" width="18.7109375" style="2" bestFit="1" customWidth="1"/>
    <col min="13324" max="13324" width="19.42578125" style="2" bestFit="1" customWidth="1"/>
    <col min="13325" max="13325" width="0.5703125" style="2" customWidth="1"/>
    <col min="13326" max="13327" width="18.7109375" style="2" bestFit="1" customWidth="1"/>
    <col min="13328" max="13328" width="16.5703125" style="2" customWidth="1"/>
    <col min="13329" max="13329" width="0.7109375" style="2" customWidth="1"/>
    <col min="13330" max="13331" width="19.85546875" style="2" bestFit="1" customWidth="1"/>
    <col min="13332" max="13332" width="18.7109375" style="2" bestFit="1" customWidth="1"/>
    <col min="13333" max="13333" width="14.5703125" style="2" customWidth="1"/>
    <col min="13334" max="13334" width="9.140625" style="2"/>
    <col min="13335" max="13335" width="13.140625" style="2" bestFit="1" customWidth="1"/>
    <col min="13336" max="13568" width="9.140625" style="2"/>
    <col min="13569" max="13572" width="2.7109375" style="2" customWidth="1"/>
    <col min="13573" max="13573" width="50.5703125" style="2" customWidth="1"/>
    <col min="13574" max="13575" width="19.28515625" style="2" customWidth="1"/>
    <col min="13576" max="13576" width="18.5703125" style="2" customWidth="1"/>
    <col min="13577" max="13577" width="0.7109375" style="2" customWidth="1"/>
    <col min="13578" max="13578" width="24" style="2" bestFit="1" customWidth="1"/>
    <col min="13579" max="13579" width="18.7109375" style="2" bestFit="1" customWidth="1"/>
    <col min="13580" max="13580" width="19.42578125" style="2" bestFit="1" customWidth="1"/>
    <col min="13581" max="13581" width="0.5703125" style="2" customWidth="1"/>
    <col min="13582" max="13583" width="18.7109375" style="2" bestFit="1" customWidth="1"/>
    <col min="13584" max="13584" width="16.5703125" style="2" customWidth="1"/>
    <col min="13585" max="13585" width="0.7109375" style="2" customWidth="1"/>
    <col min="13586" max="13587" width="19.85546875" style="2" bestFit="1" customWidth="1"/>
    <col min="13588" max="13588" width="18.7109375" style="2" bestFit="1" customWidth="1"/>
    <col min="13589" max="13589" width="14.5703125" style="2" customWidth="1"/>
    <col min="13590" max="13590" width="9.140625" style="2"/>
    <col min="13591" max="13591" width="13.140625" style="2" bestFit="1" customWidth="1"/>
    <col min="13592" max="13824" width="9.140625" style="2"/>
    <col min="13825" max="13828" width="2.7109375" style="2" customWidth="1"/>
    <col min="13829" max="13829" width="50.5703125" style="2" customWidth="1"/>
    <col min="13830" max="13831" width="19.28515625" style="2" customWidth="1"/>
    <col min="13832" max="13832" width="18.5703125" style="2" customWidth="1"/>
    <col min="13833" max="13833" width="0.7109375" style="2" customWidth="1"/>
    <col min="13834" max="13834" width="24" style="2" bestFit="1" customWidth="1"/>
    <col min="13835" max="13835" width="18.7109375" style="2" bestFit="1" customWidth="1"/>
    <col min="13836" max="13836" width="19.42578125" style="2" bestFit="1" customWidth="1"/>
    <col min="13837" max="13837" width="0.5703125" style="2" customWidth="1"/>
    <col min="13838" max="13839" width="18.7109375" style="2" bestFit="1" customWidth="1"/>
    <col min="13840" max="13840" width="16.5703125" style="2" customWidth="1"/>
    <col min="13841" max="13841" width="0.7109375" style="2" customWidth="1"/>
    <col min="13842" max="13843" width="19.85546875" style="2" bestFit="1" customWidth="1"/>
    <col min="13844" max="13844" width="18.7109375" style="2" bestFit="1" customWidth="1"/>
    <col min="13845" max="13845" width="14.5703125" style="2" customWidth="1"/>
    <col min="13846" max="13846" width="9.140625" style="2"/>
    <col min="13847" max="13847" width="13.140625" style="2" bestFit="1" customWidth="1"/>
    <col min="13848" max="14080" width="9.140625" style="2"/>
    <col min="14081" max="14084" width="2.7109375" style="2" customWidth="1"/>
    <col min="14085" max="14085" width="50.5703125" style="2" customWidth="1"/>
    <col min="14086" max="14087" width="19.28515625" style="2" customWidth="1"/>
    <col min="14088" max="14088" width="18.5703125" style="2" customWidth="1"/>
    <col min="14089" max="14089" width="0.7109375" style="2" customWidth="1"/>
    <col min="14090" max="14090" width="24" style="2" bestFit="1" customWidth="1"/>
    <col min="14091" max="14091" width="18.7109375" style="2" bestFit="1" customWidth="1"/>
    <col min="14092" max="14092" width="19.42578125" style="2" bestFit="1" customWidth="1"/>
    <col min="14093" max="14093" width="0.5703125" style="2" customWidth="1"/>
    <col min="14094" max="14095" width="18.7109375" style="2" bestFit="1" customWidth="1"/>
    <col min="14096" max="14096" width="16.5703125" style="2" customWidth="1"/>
    <col min="14097" max="14097" width="0.7109375" style="2" customWidth="1"/>
    <col min="14098" max="14099" width="19.85546875" style="2" bestFit="1" customWidth="1"/>
    <col min="14100" max="14100" width="18.7109375" style="2" bestFit="1" customWidth="1"/>
    <col min="14101" max="14101" width="14.5703125" style="2" customWidth="1"/>
    <col min="14102" max="14102" width="9.140625" style="2"/>
    <col min="14103" max="14103" width="13.140625" style="2" bestFit="1" customWidth="1"/>
    <col min="14104" max="14336" width="9.140625" style="2"/>
    <col min="14337" max="14340" width="2.7109375" style="2" customWidth="1"/>
    <col min="14341" max="14341" width="50.5703125" style="2" customWidth="1"/>
    <col min="14342" max="14343" width="19.28515625" style="2" customWidth="1"/>
    <col min="14344" max="14344" width="18.5703125" style="2" customWidth="1"/>
    <col min="14345" max="14345" width="0.7109375" style="2" customWidth="1"/>
    <col min="14346" max="14346" width="24" style="2" bestFit="1" customWidth="1"/>
    <col min="14347" max="14347" width="18.7109375" style="2" bestFit="1" customWidth="1"/>
    <col min="14348" max="14348" width="19.42578125" style="2" bestFit="1" customWidth="1"/>
    <col min="14349" max="14349" width="0.5703125" style="2" customWidth="1"/>
    <col min="14350" max="14351" width="18.7109375" style="2" bestFit="1" customWidth="1"/>
    <col min="14352" max="14352" width="16.5703125" style="2" customWidth="1"/>
    <col min="14353" max="14353" width="0.7109375" style="2" customWidth="1"/>
    <col min="14354" max="14355" width="19.85546875" style="2" bestFit="1" customWidth="1"/>
    <col min="14356" max="14356" width="18.7109375" style="2" bestFit="1" customWidth="1"/>
    <col min="14357" max="14357" width="14.5703125" style="2" customWidth="1"/>
    <col min="14358" max="14358" width="9.140625" style="2"/>
    <col min="14359" max="14359" width="13.140625" style="2" bestFit="1" customWidth="1"/>
    <col min="14360" max="14592" width="9.140625" style="2"/>
    <col min="14593" max="14596" width="2.7109375" style="2" customWidth="1"/>
    <col min="14597" max="14597" width="50.5703125" style="2" customWidth="1"/>
    <col min="14598" max="14599" width="19.28515625" style="2" customWidth="1"/>
    <col min="14600" max="14600" width="18.5703125" style="2" customWidth="1"/>
    <col min="14601" max="14601" width="0.7109375" style="2" customWidth="1"/>
    <col min="14602" max="14602" width="24" style="2" bestFit="1" customWidth="1"/>
    <col min="14603" max="14603" width="18.7109375" style="2" bestFit="1" customWidth="1"/>
    <col min="14604" max="14604" width="19.42578125" style="2" bestFit="1" customWidth="1"/>
    <col min="14605" max="14605" width="0.5703125" style="2" customWidth="1"/>
    <col min="14606" max="14607" width="18.7109375" style="2" bestFit="1" customWidth="1"/>
    <col min="14608" max="14608" width="16.5703125" style="2" customWidth="1"/>
    <col min="14609" max="14609" width="0.7109375" style="2" customWidth="1"/>
    <col min="14610" max="14611" width="19.85546875" style="2" bestFit="1" customWidth="1"/>
    <col min="14612" max="14612" width="18.7109375" style="2" bestFit="1" customWidth="1"/>
    <col min="14613" max="14613" width="14.5703125" style="2" customWidth="1"/>
    <col min="14614" max="14614" width="9.140625" style="2"/>
    <col min="14615" max="14615" width="13.140625" style="2" bestFit="1" customWidth="1"/>
    <col min="14616" max="14848" width="9.140625" style="2"/>
    <col min="14849" max="14852" width="2.7109375" style="2" customWidth="1"/>
    <col min="14853" max="14853" width="50.5703125" style="2" customWidth="1"/>
    <col min="14854" max="14855" width="19.28515625" style="2" customWidth="1"/>
    <col min="14856" max="14856" width="18.5703125" style="2" customWidth="1"/>
    <col min="14857" max="14857" width="0.7109375" style="2" customWidth="1"/>
    <col min="14858" max="14858" width="24" style="2" bestFit="1" customWidth="1"/>
    <col min="14859" max="14859" width="18.7109375" style="2" bestFit="1" customWidth="1"/>
    <col min="14860" max="14860" width="19.42578125" style="2" bestFit="1" customWidth="1"/>
    <col min="14861" max="14861" width="0.5703125" style="2" customWidth="1"/>
    <col min="14862" max="14863" width="18.7109375" style="2" bestFit="1" customWidth="1"/>
    <col min="14864" max="14864" width="16.5703125" style="2" customWidth="1"/>
    <col min="14865" max="14865" width="0.7109375" style="2" customWidth="1"/>
    <col min="14866" max="14867" width="19.85546875" style="2" bestFit="1" customWidth="1"/>
    <col min="14868" max="14868" width="18.7109375" style="2" bestFit="1" customWidth="1"/>
    <col min="14869" max="14869" width="14.5703125" style="2" customWidth="1"/>
    <col min="14870" max="14870" width="9.140625" style="2"/>
    <col min="14871" max="14871" width="13.140625" style="2" bestFit="1" customWidth="1"/>
    <col min="14872" max="15104" width="9.140625" style="2"/>
    <col min="15105" max="15108" width="2.7109375" style="2" customWidth="1"/>
    <col min="15109" max="15109" width="50.5703125" style="2" customWidth="1"/>
    <col min="15110" max="15111" width="19.28515625" style="2" customWidth="1"/>
    <col min="15112" max="15112" width="18.5703125" style="2" customWidth="1"/>
    <col min="15113" max="15113" width="0.7109375" style="2" customWidth="1"/>
    <col min="15114" max="15114" width="24" style="2" bestFit="1" customWidth="1"/>
    <col min="15115" max="15115" width="18.7109375" style="2" bestFit="1" customWidth="1"/>
    <col min="15116" max="15116" width="19.42578125" style="2" bestFit="1" customWidth="1"/>
    <col min="15117" max="15117" width="0.5703125" style="2" customWidth="1"/>
    <col min="15118" max="15119" width="18.7109375" style="2" bestFit="1" customWidth="1"/>
    <col min="15120" max="15120" width="16.5703125" style="2" customWidth="1"/>
    <col min="15121" max="15121" width="0.7109375" style="2" customWidth="1"/>
    <col min="15122" max="15123" width="19.85546875" style="2" bestFit="1" customWidth="1"/>
    <col min="15124" max="15124" width="18.7109375" style="2" bestFit="1" customWidth="1"/>
    <col min="15125" max="15125" width="14.5703125" style="2" customWidth="1"/>
    <col min="15126" max="15126" width="9.140625" style="2"/>
    <col min="15127" max="15127" width="13.140625" style="2" bestFit="1" customWidth="1"/>
    <col min="15128" max="15360" width="9.140625" style="2"/>
    <col min="15361" max="15364" width="2.7109375" style="2" customWidth="1"/>
    <col min="15365" max="15365" width="50.5703125" style="2" customWidth="1"/>
    <col min="15366" max="15367" width="19.28515625" style="2" customWidth="1"/>
    <col min="15368" max="15368" width="18.5703125" style="2" customWidth="1"/>
    <col min="15369" max="15369" width="0.7109375" style="2" customWidth="1"/>
    <col min="15370" max="15370" width="24" style="2" bestFit="1" customWidth="1"/>
    <col min="15371" max="15371" width="18.7109375" style="2" bestFit="1" customWidth="1"/>
    <col min="15372" max="15372" width="19.42578125" style="2" bestFit="1" customWidth="1"/>
    <col min="15373" max="15373" width="0.5703125" style="2" customWidth="1"/>
    <col min="15374" max="15375" width="18.7109375" style="2" bestFit="1" customWidth="1"/>
    <col min="15376" max="15376" width="16.5703125" style="2" customWidth="1"/>
    <col min="15377" max="15377" width="0.7109375" style="2" customWidth="1"/>
    <col min="15378" max="15379" width="19.85546875" style="2" bestFit="1" customWidth="1"/>
    <col min="15380" max="15380" width="18.7109375" style="2" bestFit="1" customWidth="1"/>
    <col min="15381" max="15381" width="14.5703125" style="2" customWidth="1"/>
    <col min="15382" max="15382" width="9.140625" style="2"/>
    <col min="15383" max="15383" width="13.140625" style="2" bestFit="1" customWidth="1"/>
    <col min="15384" max="15616" width="9.140625" style="2"/>
    <col min="15617" max="15620" width="2.7109375" style="2" customWidth="1"/>
    <col min="15621" max="15621" width="50.5703125" style="2" customWidth="1"/>
    <col min="15622" max="15623" width="19.28515625" style="2" customWidth="1"/>
    <col min="15624" max="15624" width="18.5703125" style="2" customWidth="1"/>
    <col min="15625" max="15625" width="0.7109375" style="2" customWidth="1"/>
    <col min="15626" max="15626" width="24" style="2" bestFit="1" customWidth="1"/>
    <col min="15627" max="15627" width="18.7109375" style="2" bestFit="1" customWidth="1"/>
    <col min="15628" max="15628" width="19.42578125" style="2" bestFit="1" customWidth="1"/>
    <col min="15629" max="15629" width="0.5703125" style="2" customWidth="1"/>
    <col min="15630" max="15631" width="18.7109375" style="2" bestFit="1" customWidth="1"/>
    <col min="15632" max="15632" width="16.5703125" style="2" customWidth="1"/>
    <col min="15633" max="15633" width="0.7109375" style="2" customWidth="1"/>
    <col min="15634" max="15635" width="19.85546875" style="2" bestFit="1" customWidth="1"/>
    <col min="15636" max="15636" width="18.7109375" style="2" bestFit="1" customWidth="1"/>
    <col min="15637" max="15637" width="14.5703125" style="2" customWidth="1"/>
    <col min="15638" max="15638" width="9.140625" style="2"/>
    <col min="15639" max="15639" width="13.140625" style="2" bestFit="1" customWidth="1"/>
    <col min="15640" max="15872" width="9.140625" style="2"/>
    <col min="15873" max="15876" width="2.7109375" style="2" customWidth="1"/>
    <col min="15877" max="15877" width="50.5703125" style="2" customWidth="1"/>
    <col min="15878" max="15879" width="19.28515625" style="2" customWidth="1"/>
    <col min="15880" max="15880" width="18.5703125" style="2" customWidth="1"/>
    <col min="15881" max="15881" width="0.7109375" style="2" customWidth="1"/>
    <col min="15882" max="15882" width="24" style="2" bestFit="1" customWidth="1"/>
    <col min="15883" max="15883" width="18.7109375" style="2" bestFit="1" customWidth="1"/>
    <col min="15884" max="15884" width="19.42578125" style="2" bestFit="1" customWidth="1"/>
    <col min="15885" max="15885" width="0.5703125" style="2" customWidth="1"/>
    <col min="15886" max="15887" width="18.7109375" style="2" bestFit="1" customWidth="1"/>
    <col min="15888" max="15888" width="16.5703125" style="2" customWidth="1"/>
    <col min="15889" max="15889" width="0.7109375" style="2" customWidth="1"/>
    <col min="15890" max="15891" width="19.85546875" style="2" bestFit="1" customWidth="1"/>
    <col min="15892" max="15892" width="18.7109375" style="2" bestFit="1" customWidth="1"/>
    <col min="15893" max="15893" width="14.5703125" style="2" customWidth="1"/>
    <col min="15894" max="15894" width="9.140625" style="2"/>
    <col min="15895" max="15895" width="13.140625" style="2" bestFit="1" customWidth="1"/>
    <col min="15896" max="16128" width="9.140625" style="2"/>
    <col min="16129" max="16132" width="2.7109375" style="2" customWidth="1"/>
    <col min="16133" max="16133" width="50.5703125" style="2" customWidth="1"/>
    <col min="16134" max="16135" width="19.28515625" style="2" customWidth="1"/>
    <col min="16136" max="16136" width="18.5703125" style="2" customWidth="1"/>
    <col min="16137" max="16137" width="0.7109375" style="2" customWidth="1"/>
    <col min="16138" max="16138" width="24" style="2" bestFit="1" customWidth="1"/>
    <col min="16139" max="16139" width="18.7109375" style="2" bestFit="1" customWidth="1"/>
    <col min="16140" max="16140" width="19.42578125" style="2" bestFit="1" customWidth="1"/>
    <col min="16141" max="16141" width="0.5703125" style="2" customWidth="1"/>
    <col min="16142" max="16143" width="18.7109375" style="2" bestFit="1" customWidth="1"/>
    <col min="16144" max="16144" width="16.5703125" style="2" customWidth="1"/>
    <col min="16145" max="16145" width="0.7109375" style="2" customWidth="1"/>
    <col min="16146" max="16147" width="19.85546875" style="2" bestFit="1" customWidth="1"/>
    <col min="16148" max="16148" width="18.7109375" style="2" bestFit="1" customWidth="1"/>
    <col min="16149" max="16149" width="14.5703125" style="2" customWidth="1"/>
    <col min="16150" max="16150" width="9.140625" style="2"/>
    <col min="16151" max="16151" width="13.140625" style="2" bestFit="1" customWidth="1"/>
    <col min="16152" max="16384" width="9.140625" style="2"/>
  </cols>
  <sheetData>
    <row r="1" spans="2:21" ht="18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2:21" ht="20.25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21" ht="18">
      <c r="B3" s="131" t="s">
        <v>183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1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2:21" ht="24.95" customHeight="1">
      <c r="B5" s="134" t="s">
        <v>3</v>
      </c>
      <c r="C5" s="135"/>
      <c r="D5" s="135"/>
      <c r="E5" s="136"/>
      <c r="F5" s="140" t="s">
        <v>4</v>
      </c>
      <c r="G5" s="141"/>
      <c r="H5" s="142"/>
      <c r="I5" s="3"/>
      <c r="J5" s="140" t="s">
        <v>5</v>
      </c>
      <c r="K5" s="141"/>
      <c r="L5" s="142"/>
      <c r="M5" s="4"/>
      <c r="N5" s="140" t="s">
        <v>6</v>
      </c>
      <c r="O5" s="141"/>
      <c r="P5" s="142"/>
      <c r="Q5" s="3"/>
      <c r="R5" s="140" t="s">
        <v>7</v>
      </c>
      <c r="S5" s="141"/>
      <c r="T5" s="143"/>
      <c r="U5" s="127" t="s">
        <v>8</v>
      </c>
    </row>
    <row r="6" spans="2:21" s="8" customFormat="1" ht="28.5" customHeight="1" thickBot="1">
      <c r="B6" s="137"/>
      <c r="C6" s="138"/>
      <c r="D6" s="138"/>
      <c r="E6" s="139"/>
      <c r="F6" s="5" t="s">
        <v>9</v>
      </c>
      <c r="G6" s="6" t="s">
        <v>10</v>
      </c>
      <c r="H6" s="5" t="s">
        <v>11</v>
      </c>
      <c r="I6" s="6"/>
      <c r="J6" s="5" t="s">
        <v>12</v>
      </c>
      <c r="K6" s="6" t="s">
        <v>10</v>
      </c>
      <c r="L6" s="5" t="s">
        <v>11</v>
      </c>
      <c r="M6" s="5"/>
      <c r="N6" s="5" t="s">
        <v>9</v>
      </c>
      <c r="O6" s="6" t="s">
        <v>10</v>
      </c>
      <c r="P6" s="5" t="s">
        <v>11</v>
      </c>
      <c r="Q6" s="5"/>
      <c r="R6" s="6" t="s">
        <v>13</v>
      </c>
      <c r="S6" s="6" t="s">
        <v>10</v>
      </c>
      <c r="T6" s="7" t="s">
        <v>11</v>
      </c>
      <c r="U6" s="128"/>
    </row>
    <row r="7" spans="2:21" ht="24.95" customHeight="1">
      <c r="B7" s="9"/>
      <c r="C7" s="10"/>
      <c r="D7" s="10"/>
      <c r="E7" s="11"/>
      <c r="F7" s="12"/>
      <c r="G7" s="12"/>
      <c r="H7" s="12"/>
      <c r="I7" s="13"/>
      <c r="J7" s="12"/>
      <c r="K7" s="12"/>
      <c r="L7" s="12"/>
      <c r="M7" s="12"/>
      <c r="N7" s="12"/>
      <c r="O7" s="12"/>
      <c r="P7" s="12"/>
      <c r="Q7" s="13"/>
      <c r="R7" s="12"/>
      <c r="S7" s="12"/>
      <c r="T7" s="14"/>
      <c r="U7" s="15"/>
    </row>
    <row r="8" spans="2:21" ht="24.95" customHeight="1">
      <c r="B8" s="9" t="s">
        <v>14</v>
      </c>
      <c r="C8" s="10"/>
      <c r="D8" s="10"/>
      <c r="E8" s="11"/>
      <c r="F8" s="12">
        <f>2957077000-274134294</f>
        <v>2682942706</v>
      </c>
      <c r="G8" s="12">
        <f>752799384.18+700290</f>
        <v>753499674.17999995</v>
      </c>
      <c r="H8" s="12">
        <f>+F8-G8</f>
        <v>1929443031.8200002</v>
      </c>
      <c r="I8" s="13"/>
      <c r="J8" s="12"/>
      <c r="K8" s="12"/>
      <c r="L8" s="12">
        <f>+J8-K8</f>
        <v>0</v>
      </c>
      <c r="M8" s="12"/>
      <c r="N8" s="12">
        <f>20080+962913</f>
        <v>982993</v>
      </c>
      <c r="O8" s="12">
        <v>1084380.79</v>
      </c>
      <c r="P8" s="12">
        <f>+N8-O8</f>
        <v>-101387.79000000004</v>
      </c>
      <c r="Q8" s="16"/>
      <c r="R8" s="12">
        <f>+F8+J8+N8</f>
        <v>2683925699</v>
      </c>
      <c r="S8" s="12">
        <f>+G8+K8+O8</f>
        <v>754584054.96999991</v>
      </c>
      <c r="T8" s="14">
        <f>+R8-S8</f>
        <v>1929341644.0300002</v>
      </c>
      <c r="U8" s="17">
        <f>+S8/R8</f>
        <v>0.28114938325272915</v>
      </c>
    </row>
    <row r="9" spans="2:21" ht="24.95" customHeight="1">
      <c r="B9" s="18"/>
      <c r="C9" s="10"/>
      <c r="D9" s="10"/>
      <c r="E9" s="19"/>
      <c r="F9" s="12"/>
      <c r="G9" s="12"/>
      <c r="H9" s="12">
        <f>+F9-G9</f>
        <v>0</v>
      </c>
      <c r="I9" s="13"/>
      <c r="J9" s="12"/>
      <c r="K9" s="12"/>
      <c r="L9" s="12">
        <f>+J9-K9</f>
        <v>0</v>
      </c>
      <c r="M9" s="12"/>
      <c r="N9" s="12"/>
      <c r="O9" s="12"/>
      <c r="P9" s="12">
        <f>+N9-O9</f>
        <v>0</v>
      </c>
      <c r="Q9" s="13"/>
      <c r="R9" s="12"/>
      <c r="S9" s="12"/>
      <c r="T9" s="14"/>
      <c r="U9" s="17"/>
    </row>
    <row r="10" spans="2:21" ht="24.95" customHeight="1">
      <c r="B10" s="9" t="s">
        <v>15</v>
      </c>
      <c r="C10" s="10"/>
      <c r="D10" s="10"/>
      <c r="E10" s="11"/>
      <c r="F10" s="12"/>
      <c r="G10" s="12"/>
      <c r="H10" s="12"/>
      <c r="I10" s="13"/>
      <c r="J10" s="12"/>
      <c r="K10" s="12"/>
      <c r="L10" s="12"/>
      <c r="M10" s="12"/>
      <c r="N10" s="12"/>
      <c r="O10" s="12"/>
      <c r="P10" s="12"/>
      <c r="Q10" s="13"/>
      <c r="R10" s="12"/>
      <c r="S10" s="12"/>
      <c r="T10" s="14"/>
      <c r="U10" s="17"/>
    </row>
    <row r="11" spans="2:21" ht="30" customHeight="1">
      <c r="B11" s="9"/>
      <c r="C11" s="129" t="s">
        <v>16</v>
      </c>
      <c r="D11" s="129"/>
      <c r="E11" s="130"/>
      <c r="F11" s="12">
        <f>SUM(F13:F46)</f>
        <v>1069139733.73</v>
      </c>
      <c r="G11" s="12">
        <f t="shared" ref="G11:T11" si="0">SUM(G13:G46)</f>
        <v>662793686.22000027</v>
      </c>
      <c r="H11" s="12">
        <f t="shared" si="0"/>
        <v>406346047.50999993</v>
      </c>
      <c r="I11" s="12">
        <f t="shared" si="0"/>
        <v>2208000</v>
      </c>
      <c r="J11" s="12">
        <f>SUM(J13:J46)</f>
        <v>18426026</v>
      </c>
      <c r="K11" s="12">
        <f t="shared" ref="K11" si="1">SUM(K13:K46)</f>
        <v>17507464.57</v>
      </c>
      <c r="L11" s="12">
        <f>SUM(L13:L46)</f>
        <v>918561.4299999997</v>
      </c>
      <c r="M11" s="12">
        <f t="shared" si="0"/>
        <v>0</v>
      </c>
      <c r="N11" s="12">
        <f>SUM(N13:N46)</f>
        <v>76673625.590000004</v>
      </c>
      <c r="O11" s="12">
        <f t="shared" ref="O11" si="2">SUM(O13:O46)</f>
        <v>28505205.779999997</v>
      </c>
      <c r="P11" s="12">
        <f>SUM(P13:P46)</f>
        <v>48168419.810000002</v>
      </c>
      <c r="Q11" s="12">
        <f t="shared" si="0"/>
        <v>0</v>
      </c>
      <c r="R11" s="12">
        <f t="shared" si="0"/>
        <v>1164239385.3200002</v>
      </c>
      <c r="S11" s="12">
        <f t="shared" si="0"/>
        <v>708806356.57000005</v>
      </c>
      <c r="T11" s="14">
        <f t="shared" si="0"/>
        <v>455433028.75000006</v>
      </c>
      <c r="U11" s="17">
        <f>+S11/R11</f>
        <v>0.60881496151685266</v>
      </c>
    </row>
    <row r="12" spans="2:21" ht="24.95" customHeight="1">
      <c r="B12" s="18"/>
      <c r="C12" s="20" t="s">
        <v>17</v>
      </c>
      <c r="D12" s="20"/>
      <c r="E12" s="10"/>
      <c r="F12" s="12"/>
      <c r="G12" s="12"/>
      <c r="H12" s="12">
        <f t="shared" ref="H12:H17" si="3">+F12-G12</f>
        <v>0</v>
      </c>
      <c r="I12" s="13"/>
      <c r="J12" s="12"/>
      <c r="K12" s="12"/>
      <c r="L12" s="12">
        <f t="shared" ref="L12:L17" si="4">+J12-K12</f>
        <v>0</v>
      </c>
      <c r="M12" s="12"/>
      <c r="N12" s="12"/>
      <c r="O12" s="12"/>
      <c r="P12" s="12">
        <f t="shared" ref="P12:P17" si="5">+N12-O12</f>
        <v>0</v>
      </c>
      <c r="Q12" s="13"/>
      <c r="R12" s="12"/>
      <c r="S12" s="12"/>
      <c r="T12" s="14"/>
      <c r="U12" s="17"/>
    </row>
    <row r="13" spans="2:21" ht="24.95" customHeight="1">
      <c r="B13" s="18"/>
      <c r="C13" s="20"/>
      <c r="D13" s="20"/>
      <c r="E13" s="10" t="s">
        <v>18</v>
      </c>
      <c r="F13" s="12">
        <v>21848508</v>
      </c>
      <c r="G13" s="12">
        <v>23773120.300000001</v>
      </c>
      <c r="H13" s="12">
        <f t="shared" si="3"/>
        <v>-1924612.3000000007</v>
      </c>
      <c r="I13" s="13"/>
      <c r="J13" s="12"/>
      <c r="K13" s="12"/>
      <c r="L13" s="12">
        <f t="shared" si="4"/>
        <v>0</v>
      </c>
      <c r="M13" s="12"/>
      <c r="N13" s="12"/>
      <c r="O13" s="12"/>
      <c r="P13" s="12">
        <f t="shared" si="5"/>
        <v>0</v>
      </c>
      <c r="Q13" s="13"/>
      <c r="R13" s="12">
        <f t="shared" ref="R13:S17" si="6">+F13+J13+N13</f>
        <v>21848508</v>
      </c>
      <c r="S13" s="12">
        <f t="shared" si="6"/>
        <v>23773120.300000001</v>
      </c>
      <c r="T13" s="14">
        <f>+R13-S13</f>
        <v>-1924612.3000000007</v>
      </c>
      <c r="U13" s="17">
        <f t="shared" ref="U13:U72" si="7">+S13/R13</f>
        <v>1.0880889578363886</v>
      </c>
    </row>
    <row r="14" spans="2:21" ht="24.95" customHeight="1">
      <c r="B14" s="18"/>
      <c r="C14" s="10"/>
      <c r="D14" s="10"/>
      <c r="E14" s="21" t="s">
        <v>19</v>
      </c>
      <c r="F14" s="12">
        <v>7420114</v>
      </c>
      <c r="G14" s="12">
        <v>9243700.5700000003</v>
      </c>
      <c r="H14" s="12">
        <f t="shared" si="3"/>
        <v>-1823586.5700000003</v>
      </c>
      <c r="I14" s="13"/>
      <c r="J14" s="12"/>
      <c r="K14" s="12"/>
      <c r="L14" s="12">
        <f t="shared" si="4"/>
        <v>0</v>
      </c>
      <c r="M14" s="12"/>
      <c r="N14" s="12"/>
      <c r="O14" s="12"/>
      <c r="P14" s="12">
        <f t="shared" si="5"/>
        <v>0</v>
      </c>
      <c r="Q14" s="13"/>
      <c r="R14" s="12">
        <f t="shared" si="6"/>
        <v>7420114</v>
      </c>
      <c r="S14" s="12">
        <f t="shared" si="6"/>
        <v>9243700.5700000003</v>
      </c>
      <c r="T14" s="14">
        <f>+R14-S14</f>
        <v>-1823586.5700000003</v>
      </c>
      <c r="U14" s="17">
        <f t="shared" si="7"/>
        <v>1.2457626082294693</v>
      </c>
    </row>
    <row r="15" spans="2:21" ht="27" customHeight="1">
      <c r="B15" s="18"/>
      <c r="C15" s="10"/>
      <c r="D15" s="10"/>
      <c r="E15" s="21" t="s">
        <v>20</v>
      </c>
      <c r="F15" s="12">
        <v>8969852</v>
      </c>
      <c r="G15" s="12">
        <v>7074299.0099999998</v>
      </c>
      <c r="H15" s="12">
        <f t="shared" si="3"/>
        <v>1895552.9900000002</v>
      </c>
      <c r="I15" s="13"/>
      <c r="J15" s="12"/>
      <c r="K15" s="12"/>
      <c r="L15" s="12">
        <f t="shared" si="4"/>
        <v>0</v>
      </c>
      <c r="M15" s="12"/>
      <c r="N15" s="12"/>
      <c r="O15" s="12"/>
      <c r="P15" s="12">
        <f t="shared" si="5"/>
        <v>0</v>
      </c>
      <c r="Q15" s="13"/>
      <c r="R15" s="12">
        <f t="shared" si="6"/>
        <v>8969852</v>
      </c>
      <c r="S15" s="12">
        <f t="shared" si="6"/>
        <v>7074299.0099999998</v>
      </c>
      <c r="T15" s="14">
        <f>+R15-S15</f>
        <v>1895552.9900000002</v>
      </c>
      <c r="U15" s="17">
        <f t="shared" si="7"/>
        <v>0.78867510968965815</v>
      </c>
    </row>
    <row r="16" spans="2:21" ht="27" customHeight="1">
      <c r="B16" s="18"/>
      <c r="C16" s="10"/>
      <c r="D16" s="10"/>
      <c r="E16" s="22" t="s">
        <v>21</v>
      </c>
      <c r="F16" s="12">
        <v>2239000</v>
      </c>
      <c r="G16" s="12">
        <v>2346618.81</v>
      </c>
      <c r="H16" s="12">
        <f t="shared" si="3"/>
        <v>-107618.81000000006</v>
      </c>
      <c r="I16" s="13"/>
      <c r="J16" s="12"/>
      <c r="K16" s="12"/>
      <c r="L16" s="12">
        <f t="shared" si="4"/>
        <v>0</v>
      </c>
      <c r="M16" s="12"/>
      <c r="N16" s="12"/>
      <c r="O16" s="12"/>
      <c r="P16" s="12">
        <f t="shared" si="5"/>
        <v>0</v>
      </c>
      <c r="Q16" s="13"/>
      <c r="R16" s="12">
        <f t="shared" si="6"/>
        <v>2239000</v>
      </c>
      <c r="S16" s="12">
        <f t="shared" si="6"/>
        <v>2346618.81</v>
      </c>
      <c r="T16" s="14">
        <f>+R16-S16</f>
        <v>-107618.81000000006</v>
      </c>
      <c r="U16" s="17">
        <f t="shared" si="7"/>
        <v>1.0480655694506475</v>
      </c>
    </row>
    <row r="17" spans="2:21" ht="27" customHeight="1">
      <c r="B17" s="18"/>
      <c r="C17" s="10"/>
      <c r="D17" s="10"/>
      <c r="E17" s="21" t="s">
        <v>22</v>
      </c>
      <c r="F17" s="12">
        <v>14317808</v>
      </c>
      <c r="G17" s="12">
        <v>11147165.85</v>
      </c>
      <c r="H17" s="12">
        <f t="shared" si="3"/>
        <v>3170642.1500000004</v>
      </c>
      <c r="I17" s="13"/>
      <c r="J17" s="12"/>
      <c r="K17" s="12"/>
      <c r="L17" s="12">
        <f t="shared" si="4"/>
        <v>0</v>
      </c>
      <c r="M17" s="12"/>
      <c r="N17" s="12"/>
      <c r="O17" s="12"/>
      <c r="P17" s="12">
        <f t="shared" si="5"/>
        <v>0</v>
      </c>
      <c r="Q17" s="13"/>
      <c r="R17" s="12">
        <f t="shared" si="6"/>
        <v>14317808</v>
      </c>
      <c r="S17" s="12">
        <f t="shared" si="6"/>
        <v>11147165.85</v>
      </c>
      <c r="T17" s="14">
        <f>+R17-S17</f>
        <v>3170642.1500000004</v>
      </c>
      <c r="U17" s="17">
        <f t="shared" si="7"/>
        <v>0.77855254449563782</v>
      </c>
    </row>
    <row r="18" spans="2:21" ht="24.95" customHeight="1">
      <c r="B18" s="18"/>
      <c r="C18" s="10"/>
      <c r="D18" s="10"/>
      <c r="E18" s="21"/>
      <c r="F18" s="12"/>
      <c r="G18" s="12"/>
      <c r="H18" s="12"/>
      <c r="I18" s="13"/>
      <c r="J18" s="12"/>
      <c r="K18" s="12"/>
      <c r="L18" s="12"/>
      <c r="M18" s="12"/>
      <c r="N18" s="12"/>
      <c r="O18" s="12"/>
      <c r="P18" s="12"/>
      <c r="Q18" s="13"/>
      <c r="R18" s="12"/>
      <c r="S18" s="12"/>
      <c r="T18" s="14"/>
      <c r="U18" s="17"/>
    </row>
    <row r="19" spans="2:21" ht="24.95" customHeight="1">
      <c r="B19" s="18"/>
      <c r="C19" s="20" t="s">
        <v>23</v>
      </c>
      <c r="D19" s="20"/>
      <c r="E19" s="10"/>
      <c r="F19" s="12"/>
      <c r="G19" s="12"/>
      <c r="H19" s="12"/>
      <c r="I19" s="13"/>
      <c r="J19" s="12"/>
      <c r="K19" s="12"/>
      <c r="L19" s="12"/>
      <c r="M19" s="12"/>
      <c r="N19" s="12"/>
      <c r="O19" s="12"/>
      <c r="P19" s="12"/>
      <c r="Q19" s="13"/>
      <c r="R19" s="12"/>
      <c r="S19" s="12"/>
      <c r="T19" s="14"/>
      <c r="U19" s="17"/>
    </row>
    <row r="20" spans="2:21" ht="24.95" customHeight="1">
      <c r="B20" s="18"/>
      <c r="C20" s="20"/>
      <c r="D20" s="20"/>
      <c r="E20" s="10" t="s">
        <v>24</v>
      </c>
      <c r="F20" s="12">
        <v>94854000</v>
      </c>
      <c r="G20" s="12">
        <v>44241681.060000002</v>
      </c>
      <c r="H20" s="12">
        <f>+F20-G20</f>
        <v>50612318.939999998</v>
      </c>
      <c r="I20" s="13"/>
      <c r="J20" s="12">
        <v>1750000</v>
      </c>
      <c r="K20" s="12"/>
      <c r="L20" s="12">
        <f>+J20-K20</f>
        <v>1750000</v>
      </c>
      <c r="M20" s="12"/>
      <c r="N20" s="12">
        <v>61388393.939999998</v>
      </c>
      <c r="O20" s="12">
        <v>17968308.539999999</v>
      </c>
      <c r="P20" s="12">
        <f>+N20-O20</f>
        <v>43420085.399999999</v>
      </c>
      <c r="Q20" s="13"/>
      <c r="R20" s="12">
        <f>+F20+J20+N20</f>
        <v>157992393.94</v>
      </c>
      <c r="S20" s="12">
        <f>+G20+K20+O20</f>
        <v>62209989.600000001</v>
      </c>
      <c r="T20" s="14">
        <f>+R20-S20</f>
        <v>95782404.340000004</v>
      </c>
      <c r="U20" s="17">
        <f t="shared" si="7"/>
        <v>0.39375306651550063</v>
      </c>
    </row>
    <row r="21" spans="2:21" ht="28.5" customHeight="1">
      <c r="B21" s="18"/>
      <c r="C21" s="10"/>
      <c r="D21" s="10"/>
      <c r="E21" s="22" t="s">
        <v>142</v>
      </c>
      <c r="F21" s="12">
        <v>40381300</v>
      </c>
      <c r="G21" s="12">
        <v>27081075.609999999</v>
      </c>
      <c r="H21" s="12">
        <f>+F21-G21</f>
        <v>13300224.390000001</v>
      </c>
      <c r="I21" s="13"/>
      <c r="J21" s="12"/>
      <c r="K21" s="12"/>
      <c r="L21" s="12">
        <f>+J21-K21</f>
        <v>0</v>
      </c>
      <c r="M21" s="12"/>
      <c r="N21" s="12">
        <v>1561137</v>
      </c>
      <c r="O21" s="12">
        <v>0</v>
      </c>
      <c r="P21" s="12">
        <f>+N21-O21</f>
        <v>1561137</v>
      </c>
      <c r="Q21" s="13"/>
      <c r="R21" s="12">
        <f>+F21+J21+N21</f>
        <v>41942437</v>
      </c>
      <c r="S21" s="12">
        <f>+G21+K21+O21</f>
        <v>27081075.609999999</v>
      </c>
      <c r="T21" s="14">
        <f>+R21-S21</f>
        <v>14861361.390000001</v>
      </c>
      <c r="U21" s="17">
        <f t="shared" si="7"/>
        <v>0.64567243934824292</v>
      </c>
    </row>
    <row r="22" spans="2:21" ht="24.95" customHeight="1">
      <c r="B22" s="18"/>
      <c r="C22" s="10"/>
      <c r="D22" s="10"/>
      <c r="E22" s="22"/>
      <c r="F22" s="12"/>
      <c r="G22" s="12"/>
      <c r="H22" s="12"/>
      <c r="I22" s="13"/>
      <c r="J22" s="12"/>
      <c r="K22" s="12"/>
      <c r="L22" s="12"/>
      <c r="M22" s="12"/>
      <c r="N22" s="12"/>
      <c r="O22" s="12"/>
      <c r="P22" s="12"/>
      <c r="Q22" s="13"/>
      <c r="R22" s="12"/>
      <c r="S22" s="12"/>
      <c r="T22" s="14"/>
      <c r="U22" s="17"/>
    </row>
    <row r="23" spans="2:21" ht="24.95" customHeight="1">
      <c r="B23" s="18"/>
      <c r="C23" s="20" t="s">
        <v>26</v>
      </c>
      <c r="D23" s="20"/>
      <c r="E23" s="10"/>
      <c r="F23" s="12"/>
      <c r="G23" s="12"/>
      <c r="H23" s="12"/>
      <c r="I23" s="13"/>
      <c r="J23" s="12"/>
      <c r="K23" s="12"/>
      <c r="L23" s="12"/>
      <c r="M23" s="12"/>
      <c r="N23" s="12"/>
      <c r="O23" s="12"/>
      <c r="P23" s="12"/>
      <c r="Q23" s="13"/>
      <c r="R23" s="12"/>
      <c r="S23" s="12"/>
      <c r="T23" s="14"/>
      <c r="U23" s="17"/>
    </row>
    <row r="24" spans="2:21" ht="24.95" customHeight="1">
      <c r="B24" s="18"/>
      <c r="C24" s="20"/>
      <c r="D24" s="20"/>
      <c r="E24" s="10" t="s">
        <v>27</v>
      </c>
      <c r="F24" s="12">
        <v>76928000</v>
      </c>
      <c r="G24" s="12">
        <v>32521392.690000001</v>
      </c>
      <c r="H24" s="12">
        <f>+F24-G24</f>
        <v>44406607.310000002</v>
      </c>
      <c r="I24" s="13"/>
      <c r="J24" s="12"/>
      <c r="K24" s="12"/>
      <c r="L24" s="12">
        <f>+J24-K24</f>
        <v>0</v>
      </c>
      <c r="M24" s="12"/>
      <c r="N24" s="12"/>
      <c r="O24" s="12"/>
      <c r="P24" s="12">
        <f>+N24-O24</f>
        <v>0</v>
      </c>
      <c r="Q24" s="13"/>
      <c r="R24" s="12">
        <f t="shared" ref="R24:S26" si="8">+F24+J24+N24</f>
        <v>76928000</v>
      </c>
      <c r="S24" s="12">
        <f t="shared" si="8"/>
        <v>32521392.690000001</v>
      </c>
      <c r="T24" s="14">
        <f>+R24-S24</f>
        <v>44406607.310000002</v>
      </c>
      <c r="U24" s="17">
        <f t="shared" si="7"/>
        <v>0.42275104890287024</v>
      </c>
    </row>
    <row r="25" spans="2:21" ht="27.75" customHeight="1">
      <c r="B25" s="18"/>
      <c r="C25" s="10"/>
      <c r="D25" s="10"/>
      <c r="E25" s="22" t="s">
        <v>28</v>
      </c>
      <c r="F25" s="12">
        <v>5894000</v>
      </c>
      <c r="G25" s="12">
        <v>5340647.57</v>
      </c>
      <c r="H25" s="12">
        <f>+F25-G25</f>
        <v>553352.4299999997</v>
      </c>
      <c r="I25" s="13"/>
      <c r="J25" s="12">
        <v>3941000</v>
      </c>
      <c r="K25" s="12"/>
      <c r="L25" s="12">
        <f>+J25-K25</f>
        <v>3941000</v>
      </c>
      <c r="M25" s="12"/>
      <c r="N25" s="12"/>
      <c r="O25" s="12"/>
      <c r="P25" s="12">
        <f>+N25-O25</f>
        <v>0</v>
      </c>
      <c r="Q25" s="13"/>
      <c r="R25" s="12">
        <f t="shared" si="8"/>
        <v>9835000</v>
      </c>
      <c r="S25" s="12">
        <f t="shared" si="8"/>
        <v>5340647.57</v>
      </c>
      <c r="T25" s="14">
        <f>+R25-S25</f>
        <v>4494352.43</v>
      </c>
      <c r="U25" s="17">
        <f t="shared" si="7"/>
        <v>0.54302466395526183</v>
      </c>
    </row>
    <row r="26" spans="2:21" ht="27.75" customHeight="1">
      <c r="B26" s="18"/>
      <c r="C26" s="10"/>
      <c r="D26" s="10"/>
      <c r="E26" s="22" t="s">
        <v>29</v>
      </c>
      <c r="F26" s="12">
        <v>19721000</v>
      </c>
      <c r="G26" s="12">
        <v>11217374.880000001</v>
      </c>
      <c r="H26" s="12">
        <f>+F26-G26</f>
        <v>8503625.1199999992</v>
      </c>
      <c r="I26" s="13"/>
      <c r="J26" s="12"/>
      <c r="K26" s="12"/>
      <c r="L26" s="12">
        <f>+J26-K26</f>
        <v>0</v>
      </c>
      <c r="M26" s="12"/>
      <c r="N26" s="12"/>
      <c r="O26" s="12"/>
      <c r="P26" s="12">
        <f>+N26-O26</f>
        <v>0</v>
      </c>
      <c r="Q26" s="13"/>
      <c r="R26" s="12">
        <f t="shared" si="8"/>
        <v>19721000</v>
      </c>
      <c r="S26" s="12">
        <f t="shared" si="8"/>
        <v>11217374.880000001</v>
      </c>
      <c r="T26" s="14">
        <f>+R26-S26</f>
        <v>8503625.1199999992</v>
      </c>
      <c r="U26" s="17">
        <f t="shared" si="7"/>
        <v>0.56880355357233414</v>
      </c>
    </row>
    <row r="27" spans="2:21" ht="24.95" customHeight="1">
      <c r="B27" s="18"/>
      <c r="C27" s="10"/>
      <c r="D27" s="10"/>
      <c r="E27" s="22"/>
      <c r="F27" s="12"/>
      <c r="G27" s="12"/>
      <c r="H27" s="12"/>
      <c r="I27" s="13"/>
      <c r="J27" s="12"/>
      <c r="K27" s="12"/>
      <c r="L27" s="12"/>
      <c r="M27" s="12"/>
      <c r="N27" s="12"/>
      <c r="O27" s="12"/>
      <c r="P27" s="12"/>
      <c r="Q27" s="13"/>
      <c r="R27" s="12"/>
      <c r="S27" s="12"/>
      <c r="T27" s="14"/>
      <c r="U27" s="17"/>
    </row>
    <row r="28" spans="2:21" ht="24.95" customHeight="1">
      <c r="B28" s="18"/>
      <c r="C28" s="20" t="s">
        <v>30</v>
      </c>
      <c r="D28" s="20"/>
      <c r="E28" s="10"/>
      <c r="F28" s="12"/>
      <c r="G28" s="12"/>
      <c r="H28" s="12"/>
      <c r="I28" s="13"/>
      <c r="J28" s="12"/>
      <c r="K28" s="12"/>
      <c r="L28" s="12"/>
      <c r="M28" s="12"/>
      <c r="N28" s="12"/>
      <c r="O28" s="12"/>
      <c r="P28" s="12"/>
      <c r="Q28" s="13"/>
      <c r="R28" s="12"/>
      <c r="S28" s="12"/>
      <c r="T28" s="14"/>
      <c r="U28" s="17"/>
    </row>
    <row r="29" spans="2:21" ht="24.95" customHeight="1">
      <c r="B29" s="18"/>
      <c r="C29" s="20"/>
      <c r="D29" s="20"/>
      <c r="E29" s="10" t="s">
        <v>31</v>
      </c>
      <c r="F29" s="23">
        <v>56362728.349999994</v>
      </c>
      <c r="G29" s="23">
        <v>5739363.5700000003</v>
      </c>
      <c r="H29" s="12">
        <f>+F29-G29</f>
        <v>50623364.779999994</v>
      </c>
      <c r="I29" s="13"/>
      <c r="J29" s="23"/>
      <c r="K29" s="23"/>
      <c r="L29" s="12">
        <f>+J29-K29</f>
        <v>0</v>
      </c>
      <c r="M29" s="12"/>
      <c r="N29" s="23">
        <v>5995271.6500000004</v>
      </c>
      <c r="O29" s="23">
        <v>5995271.6500000004</v>
      </c>
      <c r="P29" s="12">
        <f>+N29-O29</f>
        <v>0</v>
      </c>
      <c r="Q29" s="13"/>
      <c r="R29" s="12">
        <f t="shared" ref="R29:S32" si="9">+F29+J29+N29</f>
        <v>62357999.999999993</v>
      </c>
      <c r="S29" s="12">
        <f t="shared" si="9"/>
        <v>11734635.220000001</v>
      </c>
      <c r="T29" s="14">
        <f>+R29-S29</f>
        <v>50623364.779999994</v>
      </c>
      <c r="U29" s="17">
        <f t="shared" si="7"/>
        <v>0.18818171237050582</v>
      </c>
    </row>
    <row r="30" spans="2:21" ht="28.5" customHeight="1">
      <c r="B30" s="18"/>
      <c r="C30" s="10"/>
      <c r="D30" s="10"/>
      <c r="E30" s="22" t="s">
        <v>32</v>
      </c>
      <c r="F30" s="12">
        <v>54410000</v>
      </c>
      <c r="G30" s="12">
        <v>28376451.620000001</v>
      </c>
      <c r="H30" s="12">
        <f>+F30-G30</f>
        <v>26033548.379999999</v>
      </c>
      <c r="I30" s="13"/>
      <c r="J30" s="12"/>
      <c r="K30" s="12"/>
      <c r="L30" s="12">
        <f>+J30-K30</f>
        <v>0</v>
      </c>
      <c r="M30" s="12"/>
      <c r="N30" s="12"/>
      <c r="O30" s="12"/>
      <c r="P30" s="12">
        <f>+N30-O30</f>
        <v>0</v>
      </c>
      <c r="Q30" s="13"/>
      <c r="R30" s="12">
        <f t="shared" si="9"/>
        <v>54410000</v>
      </c>
      <c r="S30" s="12">
        <f t="shared" si="9"/>
        <v>28376451.620000001</v>
      </c>
      <c r="T30" s="14">
        <f>+R30-S30</f>
        <v>26033548.379999999</v>
      </c>
      <c r="U30" s="17">
        <f t="shared" si="7"/>
        <v>0.52153007939716967</v>
      </c>
    </row>
    <row r="31" spans="2:21" ht="28.5" customHeight="1">
      <c r="B31" s="18"/>
      <c r="C31" s="10"/>
      <c r="D31" s="10"/>
      <c r="E31" s="22" t="s">
        <v>33</v>
      </c>
      <c r="F31" s="12">
        <v>23124000</v>
      </c>
      <c r="G31" s="12">
        <v>16167852.310000001</v>
      </c>
      <c r="H31" s="12">
        <f>+F31-G31</f>
        <v>6956147.6899999995</v>
      </c>
      <c r="I31" s="13"/>
      <c r="J31" s="12"/>
      <c r="K31" s="12"/>
      <c r="L31" s="12">
        <f>+J31-K31</f>
        <v>0</v>
      </c>
      <c r="M31" s="12"/>
      <c r="N31" s="12">
        <v>483546</v>
      </c>
      <c r="O31" s="12">
        <v>483544.93</v>
      </c>
      <c r="P31" s="12">
        <f>+N31-O31</f>
        <v>1.0700000000069849</v>
      </c>
      <c r="Q31" s="13"/>
      <c r="R31" s="12">
        <f t="shared" si="9"/>
        <v>23607546</v>
      </c>
      <c r="S31" s="12">
        <f t="shared" si="9"/>
        <v>16651397.24</v>
      </c>
      <c r="T31" s="14">
        <f>+R31-S31</f>
        <v>6956148.7599999998</v>
      </c>
      <c r="U31" s="17">
        <f t="shared" si="7"/>
        <v>0.70534214949745311</v>
      </c>
    </row>
    <row r="32" spans="2:21" ht="28.5" customHeight="1">
      <c r="B32" s="18"/>
      <c r="C32" s="10"/>
      <c r="D32" s="10"/>
      <c r="E32" s="22" t="s">
        <v>34</v>
      </c>
      <c r="F32" s="12">
        <v>9571306</v>
      </c>
      <c r="G32" s="12">
        <v>3389436.45</v>
      </c>
      <c r="H32" s="12">
        <f>+F32-G32</f>
        <v>6181869.5499999998</v>
      </c>
      <c r="I32" s="13"/>
      <c r="J32" s="12"/>
      <c r="K32" s="12"/>
      <c r="L32" s="12">
        <f>+J32-K32</f>
        <v>0</v>
      </c>
      <c r="M32" s="12"/>
      <c r="N32" s="12"/>
      <c r="O32" s="12"/>
      <c r="P32" s="12">
        <f>+N32-O32</f>
        <v>0</v>
      </c>
      <c r="Q32" s="13"/>
      <c r="R32" s="12">
        <f t="shared" si="9"/>
        <v>9571306</v>
      </c>
      <c r="S32" s="12">
        <f t="shared" si="9"/>
        <v>3389436.45</v>
      </c>
      <c r="T32" s="14">
        <f>+R32-S32</f>
        <v>6181869.5499999998</v>
      </c>
      <c r="U32" s="17">
        <f t="shared" si="7"/>
        <v>0.35412476103052187</v>
      </c>
    </row>
    <row r="33" spans="2:23" ht="27.75" customHeight="1">
      <c r="B33" s="18"/>
      <c r="C33" s="10"/>
      <c r="D33" s="10"/>
      <c r="E33" s="22"/>
      <c r="F33" s="12"/>
      <c r="G33" s="12"/>
      <c r="H33" s="12"/>
      <c r="I33" s="13"/>
      <c r="J33" s="12"/>
      <c r="K33" s="12"/>
      <c r="L33" s="12"/>
      <c r="M33" s="12"/>
      <c r="N33" s="12"/>
      <c r="O33" s="12"/>
      <c r="P33" s="12"/>
      <c r="Q33" s="13"/>
      <c r="R33" s="12"/>
      <c r="S33" s="12"/>
      <c r="T33" s="14"/>
      <c r="U33" s="17"/>
    </row>
    <row r="34" spans="2:23" ht="24.95" customHeight="1">
      <c r="B34" s="18"/>
      <c r="C34" s="24" t="s">
        <v>35</v>
      </c>
      <c r="D34" s="10"/>
      <c r="E34" s="22"/>
      <c r="F34" s="12"/>
      <c r="G34" s="12"/>
      <c r="H34" s="12"/>
      <c r="I34" s="13"/>
      <c r="J34" s="12"/>
      <c r="K34" s="12"/>
      <c r="L34" s="12"/>
      <c r="M34" s="12"/>
      <c r="N34" s="12"/>
      <c r="O34" s="12"/>
      <c r="P34" s="12"/>
      <c r="Q34" s="13"/>
      <c r="R34" s="12"/>
      <c r="S34" s="12"/>
      <c r="T34" s="14"/>
      <c r="U34" s="17"/>
    </row>
    <row r="35" spans="2:23" ht="24.95" customHeight="1">
      <c r="B35" s="18"/>
      <c r="C35" s="10"/>
      <c r="D35" s="25" t="s">
        <v>36</v>
      </c>
      <c r="E35" s="26"/>
      <c r="F35" s="12">
        <f>21762000+1115400</f>
        <v>22877400</v>
      </c>
      <c r="G35" s="12">
        <v>9205526.3000000007</v>
      </c>
      <c r="H35" s="12">
        <f>+F35-G35</f>
        <v>13671873.699999999</v>
      </c>
      <c r="I35" s="13"/>
      <c r="J35" s="12"/>
      <c r="K35" s="12"/>
      <c r="L35" s="12">
        <f>+J35-K35</f>
        <v>0</v>
      </c>
      <c r="M35" s="12"/>
      <c r="N35" s="12"/>
      <c r="O35" s="12"/>
      <c r="P35" s="12">
        <f>+N35-O35</f>
        <v>0</v>
      </c>
      <c r="Q35" s="13"/>
      <c r="R35" s="12">
        <f t="shared" ref="R35:S46" si="10">+F35+J35+N35</f>
        <v>22877400</v>
      </c>
      <c r="S35" s="12">
        <f t="shared" si="10"/>
        <v>9205526.3000000007</v>
      </c>
      <c r="T35" s="14">
        <f>+R35-S35</f>
        <v>13671873.699999999</v>
      </c>
      <c r="U35" s="17">
        <f t="shared" si="7"/>
        <v>0.40238516177537659</v>
      </c>
    </row>
    <row r="36" spans="2:23" ht="24.95" customHeight="1">
      <c r="B36" s="18"/>
      <c r="C36" s="10"/>
      <c r="D36" s="27" t="s">
        <v>37</v>
      </c>
      <c r="E36" s="22"/>
      <c r="F36" s="12">
        <v>91070000</v>
      </c>
      <c r="G36" s="12">
        <v>65585004.129999995</v>
      </c>
      <c r="H36" s="12">
        <f>+F36-G36</f>
        <v>25484995.870000005</v>
      </c>
      <c r="I36" s="13"/>
      <c r="J36" s="12">
        <v>12735026</v>
      </c>
      <c r="K36" s="12">
        <v>17507464.57</v>
      </c>
      <c r="L36" s="12">
        <f>+J36-K36</f>
        <v>-4772438.57</v>
      </c>
      <c r="M36" s="12"/>
      <c r="N36" s="12">
        <v>595505</v>
      </c>
      <c r="O36" s="12"/>
      <c r="P36" s="12">
        <f>+N36-O36</f>
        <v>595505</v>
      </c>
      <c r="Q36" s="13"/>
      <c r="R36" s="12">
        <f t="shared" si="10"/>
        <v>104400531</v>
      </c>
      <c r="S36" s="12">
        <f t="shared" si="10"/>
        <v>83092468.699999988</v>
      </c>
      <c r="T36" s="14">
        <f>+R36-S36</f>
        <v>21308062.300000012</v>
      </c>
      <c r="U36" s="17">
        <f t="shared" si="7"/>
        <v>0.79590082448910138</v>
      </c>
    </row>
    <row r="37" spans="2:23" ht="24.95" customHeight="1">
      <c r="B37" s="18"/>
      <c r="C37" s="10"/>
      <c r="D37" s="28" t="s">
        <v>38</v>
      </c>
      <c r="E37" s="22"/>
      <c r="F37" s="12">
        <v>45319000</v>
      </c>
      <c r="G37" s="12">
        <v>43673498.469999999</v>
      </c>
      <c r="H37" s="12">
        <f>+F37-G37</f>
        <v>1645501.5300000012</v>
      </c>
      <c r="I37" s="13"/>
      <c r="J37" s="12"/>
      <c r="K37" s="12"/>
      <c r="L37" s="12">
        <f>+J37-K37</f>
        <v>0</v>
      </c>
      <c r="M37" s="12"/>
      <c r="N37" s="12">
        <v>532912</v>
      </c>
      <c r="O37" s="12">
        <v>53082.29</v>
      </c>
      <c r="P37" s="12">
        <f>+N37-O37</f>
        <v>479829.71</v>
      </c>
      <c r="Q37" s="13"/>
      <c r="R37" s="12">
        <f t="shared" si="10"/>
        <v>45851912</v>
      </c>
      <c r="S37" s="12">
        <f t="shared" si="10"/>
        <v>43726580.759999998</v>
      </c>
      <c r="T37" s="14">
        <f>+R37-S37</f>
        <v>2125331.2400000021</v>
      </c>
      <c r="U37" s="17">
        <f t="shared" si="7"/>
        <v>0.9536479255216227</v>
      </c>
    </row>
    <row r="38" spans="2:23" ht="24.95" customHeight="1">
      <c r="B38" s="18"/>
      <c r="C38" s="10"/>
      <c r="D38" s="28" t="s">
        <v>39</v>
      </c>
      <c r="E38" s="22"/>
      <c r="F38" s="12">
        <v>57060217.380000003</v>
      </c>
      <c r="G38" s="12">
        <v>45173172.100000001</v>
      </c>
      <c r="H38" s="12">
        <f>+F38-G38</f>
        <v>11887045.280000001</v>
      </c>
      <c r="I38" s="13"/>
      <c r="J38" s="12"/>
      <c r="K38" s="12"/>
      <c r="L38" s="12">
        <f>+J38-K38</f>
        <v>0</v>
      </c>
      <c r="M38" s="12"/>
      <c r="N38" s="12">
        <v>1654733</v>
      </c>
      <c r="O38" s="12">
        <v>809886.43</v>
      </c>
      <c r="P38" s="12">
        <f>+N38-O38</f>
        <v>844846.57</v>
      </c>
      <c r="Q38" s="13"/>
      <c r="R38" s="12">
        <f t="shared" si="10"/>
        <v>58714950.380000003</v>
      </c>
      <c r="S38" s="12">
        <f t="shared" si="10"/>
        <v>45983058.530000001</v>
      </c>
      <c r="T38" s="14">
        <f>+R38-S38</f>
        <v>12731891.850000001</v>
      </c>
      <c r="U38" s="17">
        <f t="shared" si="7"/>
        <v>0.78315758137237823</v>
      </c>
    </row>
    <row r="39" spans="2:23" ht="24.95" customHeight="1">
      <c r="B39" s="18"/>
      <c r="C39" s="10"/>
      <c r="D39" s="28" t="s">
        <v>40</v>
      </c>
      <c r="E39" s="22"/>
      <c r="F39" s="12">
        <v>85178000</v>
      </c>
      <c r="G39" s="12">
        <v>62367542.920000002</v>
      </c>
      <c r="H39" s="12">
        <f t="shared" ref="H39:H44" si="11">+F39-G39</f>
        <v>22810457.079999998</v>
      </c>
      <c r="I39" s="13"/>
      <c r="J39" s="12"/>
      <c r="K39" s="12"/>
      <c r="L39" s="12">
        <f t="shared" ref="L39:L44" si="12">+J39-K39</f>
        <v>0</v>
      </c>
      <c r="M39" s="12"/>
      <c r="N39" s="12"/>
      <c r="O39" s="12"/>
      <c r="P39" s="12">
        <f t="shared" ref="P39:P44" si="13">+N39-O39</f>
        <v>0</v>
      </c>
      <c r="Q39" s="13"/>
      <c r="R39" s="12">
        <f t="shared" si="10"/>
        <v>85178000</v>
      </c>
      <c r="S39" s="12">
        <f t="shared" si="10"/>
        <v>62367542.920000002</v>
      </c>
      <c r="T39" s="14">
        <f t="shared" ref="T39:T46" si="14">+R39-S39</f>
        <v>22810457.079999998</v>
      </c>
      <c r="U39" s="17">
        <f t="shared" si="7"/>
        <v>0.73220248092230389</v>
      </c>
    </row>
    <row r="40" spans="2:23" ht="24.95" customHeight="1">
      <c r="B40" s="18"/>
      <c r="C40" s="10"/>
      <c r="D40" s="28" t="s">
        <v>41</v>
      </c>
      <c r="E40" s="22"/>
      <c r="F40" s="12">
        <v>21549000</v>
      </c>
      <c r="G40" s="12">
        <v>29861816.98</v>
      </c>
      <c r="H40" s="12">
        <f t="shared" si="11"/>
        <v>-8312816.9800000004</v>
      </c>
      <c r="I40" s="13"/>
      <c r="J40" s="12"/>
      <c r="K40" s="12"/>
      <c r="L40" s="12">
        <f t="shared" si="12"/>
        <v>0</v>
      </c>
      <c r="M40" s="12"/>
      <c r="N40" s="12">
        <v>2088337</v>
      </c>
      <c r="O40" s="12">
        <v>1949205.07</v>
      </c>
      <c r="P40" s="12">
        <f t="shared" si="13"/>
        <v>139131.92999999993</v>
      </c>
      <c r="Q40" s="13"/>
      <c r="R40" s="12">
        <f t="shared" si="10"/>
        <v>23637337</v>
      </c>
      <c r="S40" s="12">
        <f t="shared" si="10"/>
        <v>31811022.050000001</v>
      </c>
      <c r="T40" s="14">
        <f t="shared" si="14"/>
        <v>-8173685.0500000007</v>
      </c>
      <c r="U40" s="17">
        <f t="shared" si="7"/>
        <v>1.3457955119902043</v>
      </c>
    </row>
    <row r="41" spans="2:23" ht="24.95" customHeight="1">
      <c r="B41" s="18"/>
      <c r="C41" s="10"/>
      <c r="D41" s="28" t="s">
        <v>42</v>
      </c>
      <c r="E41" s="22"/>
      <c r="F41" s="12">
        <v>37885000</v>
      </c>
      <c r="G41" s="12">
        <v>28166093</v>
      </c>
      <c r="H41" s="12">
        <f t="shared" si="11"/>
        <v>9718907</v>
      </c>
      <c r="I41" s="13"/>
      <c r="J41" s="12"/>
      <c r="K41" s="12"/>
      <c r="L41" s="12">
        <f t="shared" si="12"/>
        <v>0</v>
      </c>
      <c r="M41" s="12"/>
      <c r="N41" s="12">
        <v>963003</v>
      </c>
      <c r="O41" s="12">
        <v>183444.57</v>
      </c>
      <c r="P41" s="12">
        <f t="shared" si="13"/>
        <v>779558.42999999993</v>
      </c>
      <c r="Q41" s="13"/>
      <c r="R41" s="12">
        <f t="shared" si="10"/>
        <v>38848003</v>
      </c>
      <c r="S41" s="12">
        <f t="shared" si="10"/>
        <v>28349537.57</v>
      </c>
      <c r="T41" s="14">
        <f t="shared" si="14"/>
        <v>10498465.43</v>
      </c>
      <c r="U41" s="17">
        <f t="shared" si="7"/>
        <v>0.72975533826024463</v>
      </c>
    </row>
    <row r="42" spans="2:23" ht="24.95" customHeight="1">
      <c r="B42" s="18"/>
      <c r="C42" s="10"/>
      <c r="D42" s="25" t="s">
        <v>43</v>
      </c>
      <c r="E42" s="22"/>
      <c r="F42" s="12">
        <v>36104000</v>
      </c>
      <c r="G42" s="12">
        <v>36221471.310000002</v>
      </c>
      <c r="H42" s="12">
        <f t="shared" si="11"/>
        <v>-117471.31000000238</v>
      </c>
      <c r="I42" s="13">
        <v>2208000</v>
      </c>
      <c r="J42" s="12"/>
      <c r="K42" s="12"/>
      <c r="L42" s="12">
        <f t="shared" si="12"/>
        <v>0</v>
      </c>
      <c r="M42" s="12"/>
      <c r="N42" s="12">
        <v>495382</v>
      </c>
      <c r="O42" s="12">
        <v>495381.16</v>
      </c>
      <c r="P42" s="12">
        <f t="shared" si="13"/>
        <v>0.84000000002561137</v>
      </c>
      <c r="Q42" s="13"/>
      <c r="R42" s="12">
        <f t="shared" si="10"/>
        <v>36599382</v>
      </c>
      <c r="S42" s="12">
        <f t="shared" si="10"/>
        <v>36716852.469999999</v>
      </c>
      <c r="T42" s="14">
        <f t="shared" si="14"/>
        <v>-117470.46999999881</v>
      </c>
      <c r="U42" s="17">
        <f t="shared" si="7"/>
        <v>1.0032096298784499</v>
      </c>
    </row>
    <row r="43" spans="2:23" ht="24.95" customHeight="1">
      <c r="B43" s="18"/>
      <c r="C43" s="10"/>
      <c r="D43" s="27" t="s">
        <v>44</v>
      </c>
      <c r="E43" s="22"/>
      <c r="F43" s="12">
        <v>113358000</v>
      </c>
      <c r="G43" s="12">
        <v>37148615.560000002</v>
      </c>
      <c r="H43" s="12">
        <f t="shared" si="11"/>
        <v>76209384.439999998</v>
      </c>
      <c r="I43" s="13"/>
      <c r="J43" s="12"/>
      <c r="K43" s="12"/>
      <c r="L43" s="12">
        <f t="shared" si="12"/>
        <v>0</v>
      </c>
      <c r="M43" s="12"/>
      <c r="N43" s="12"/>
      <c r="O43" s="12"/>
      <c r="P43" s="12">
        <f t="shared" si="13"/>
        <v>0</v>
      </c>
      <c r="Q43" s="13"/>
      <c r="R43" s="12">
        <f t="shared" si="10"/>
        <v>113358000</v>
      </c>
      <c r="S43" s="12">
        <f t="shared" si="10"/>
        <v>37148615.560000002</v>
      </c>
      <c r="T43" s="14">
        <f t="shared" si="14"/>
        <v>76209384.439999998</v>
      </c>
      <c r="U43" s="17">
        <f t="shared" si="7"/>
        <v>0.32771057675682352</v>
      </c>
    </row>
    <row r="44" spans="2:23" ht="24.95" customHeight="1">
      <c r="B44" s="18"/>
      <c r="C44" s="10"/>
      <c r="D44" s="28" t="s">
        <v>45</v>
      </c>
      <c r="E44" s="22"/>
      <c r="F44" s="12">
        <v>44870000</v>
      </c>
      <c r="G44" s="12">
        <f>22632387.68+38373.14</f>
        <v>22670760.82</v>
      </c>
      <c r="H44" s="12">
        <f t="shared" si="11"/>
        <v>22199239.18</v>
      </c>
      <c r="I44" s="13"/>
      <c r="J44" s="12"/>
      <c r="K44" s="12"/>
      <c r="L44" s="12">
        <f t="shared" si="12"/>
        <v>0</v>
      </c>
      <c r="M44" s="12"/>
      <c r="N44" s="12"/>
      <c r="O44" s="12">
        <v>139877.13</v>
      </c>
      <c r="P44" s="12">
        <f t="shared" si="13"/>
        <v>-139877.13</v>
      </c>
      <c r="Q44" s="13"/>
      <c r="R44" s="12">
        <f t="shared" si="10"/>
        <v>44870000</v>
      </c>
      <c r="S44" s="12">
        <f t="shared" si="10"/>
        <v>22810637.949999999</v>
      </c>
      <c r="T44" s="14">
        <f t="shared" si="14"/>
        <v>22059362.050000001</v>
      </c>
      <c r="U44" s="17">
        <f t="shared" si="7"/>
        <v>0.50837169489636724</v>
      </c>
    </row>
    <row r="45" spans="2:23" ht="24.95" customHeight="1">
      <c r="B45" s="18"/>
      <c r="C45" s="10"/>
      <c r="D45" s="29" t="s">
        <v>46</v>
      </c>
      <c r="E45" s="22"/>
      <c r="F45" s="12">
        <v>52977000</v>
      </c>
      <c r="G45" s="12">
        <v>40340179.850000001</v>
      </c>
      <c r="H45" s="12">
        <f>+F45-G45</f>
        <v>12636820.149999999</v>
      </c>
      <c r="I45" s="13"/>
      <c r="J45" s="12"/>
      <c r="K45" s="12"/>
      <c r="L45" s="12">
        <f>+J45-K45</f>
        <v>0</v>
      </c>
      <c r="M45" s="12"/>
      <c r="N45" s="12">
        <f>211705+384244</f>
        <v>595949</v>
      </c>
      <c r="O45" s="12">
        <v>194712.16</v>
      </c>
      <c r="P45" s="12">
        <f>+N45-O45</f>
        <v>401236.83999999997</v>
      </c>
      <c r="Q45" s="13"/>
      <c r="R45" s="12">
        <f>+F45+J45+N45</f>
        <v>53572949</v>
      </c>
      <c r="S45" s="12">
        <f t="shared" si="10"/>
        <v>40534892.009999998</v>
      </c>
      <c r="T45" s="14">
        <f t="shared" si="14"/>
        <v>13038056.990000002</v>
      </c>
      <c r="U45" s="17">
        <f t="shared" si="7"/>
        <v>0.75662984335620576</v>
      </c>
      <c r="W45" s="30"/>
    </row>
    <row r="46" spans="2:23" ht="24.95" customHeight="1">
      <c r="B46" s="18"/>
      <c r="C46" s="10"/>
      <c r="D46" s="25" t="s">
        <v>47</v>
      </c>
      <c r="E46" s="22"/>
      <c r="F46" s="12">
        <v>24850500</v>
      </c>
      <c r="G46" s="12">
        <v>14719824.48</v>
      </c>
      <c r="H46" s="12">
        <f>+F46-G46</f>
        <v>10130675.52</v>
      </c>
      <c r="I46" s="13"/>
      <c r="J46" s="12"/>
      <c r="K46" s="12"/>
      <c r="L46" s="12">
        <f>+J46-K46</f>
        <v>0</v>
      </c>
      <c r="M46" s="12"/>
      <c r="N46" s="12">
        <v>319456</v>
      </c>
      <c r="O46" s="12">
        <v>232491.85</v>
      </c>
      <c r="P46" s="12">
        <f>+N46-O46</f>
        <v>86964.15</v>
      </c>
      <c r="Q46" s="13"/>
      <c r="R46" s="12">
        <f>+F46+J46+N46</f>
        <v>25169956</v>
      </c>
      <c r="S46" s="12">
        <f t="shared" si="10"/>
        <v>14952316.33</v>
      </c>
      <c r="T46" s="14">
        <f t="shared" si="14"/>
        <v>10217639.67</v>
      </c>
      <c r="U46" s="17">
        <f t="shared" si="7"/>
        <v>0.59405413064687118</v>
      </c>
    </row>
    <row r="47" spans="2:23" ht="27.75" customHeight="1">
      <c r="B47" s="18"/>
      <c r="C47" s="10"/>
      <c r="D47" s="10"/>
      <c r="E47" s="22"/>
      <c r="F47" s="12"/>
      <c r="G47" s="12"/>
      <c r="H47" s="12"/>
      <c r="I47" s="13"/>
      <c r="J47" s="12"/>
      <c r="K47" s="12"/>
      <c r="L47" s="12"/>
      <c r="M47" s="12"/>
      <c r="N47" s="12"/>
      <c r="O47" s="12"/>
      <c r="P47" s="12"/>
      <c r="Q47" s="13"/>
      <c r="R47" s="12"/>
      <c r="S47" s="12"/>
      <c r="T47" s="14"/>
      <c r="U47" s="17"/>
    </row>
    <row r="48" spans="2:23" ht="24.95" customHeight="1">
      <c r="B48" s="18"/>
      <c r="C48" s="24" t="s">
        <v>48</v>
      </c>
      <c r="D48" s="10"/>
      <c r="E48" s="22"/>
      <c r="F48" s="12"/>
      <c r="G48" s="12"/>
      <c r="H48" s="12"/>
      <c r="I48" s="13"/>
      <c r="J48" s="12"/>
      <c r="K48" s="12"/>
      <c r="L48" s="12"/>
      <c r="M48" s="12"/>
      <c r="N48" s="12"/>
      <c r="O48" s="12"/>
      <c r="P48" s="12"/>
      <c r="Q48" s="13"/>
      <c r="R48" s="12"/>
      <c r="S48" s="12"/>
      <c r="T48" s="14"/>
      <c r="U48" s="17"/>
    </row>
    <row r="49" spans="2:21" ht="24.95" customHeight="1">
      <c r="B49" s="18"/>
      <c r="C49" s="10"/>
      <c r="D49" s="10"/>
      <c r="E49" s="10" t="s">
        <v>49</v>
      </c>
      <c r="F49" s="12">
        <v>11486000</v>
      </c>
      <c r="G49" s="12">
        <v>10455245.6</v>
      </c>
      <c r="H49" s="12">
        <f>+F49-G49</f>
        <v>1030754.4000000004</v>
      </c>
      <c r="I49" s="13"/>
      <c r="J49" s="12"/>
      <c r="K49" s="12"/>
      <c r="L49" s="12">
        <f>+J49-K49</f>
        <v>0</v>
      </c>
      <c r="M49" s="12"/>
      <c r="N49" s="12"/>
      <c r="O49" s="12"/>
      <c r="P49" s="12">
        <f>+N49-O49</f>
        <v>0</v>
      </c>
      <c r="Q49" s="13"/>
      <c r="R49" s="12">
        <f>+F49+J49+N49</f>
        <v>11486000</v>
      </c>
      <c r="S49" s="12">
        <f>+G49+K49+O49</f>
        <v>10455245.6</v>
      </c>
      <c r="T49" s="14">
        <f>+R49-S49</f>
        <v>1030754.4000000004</v>
      </c>
      <c r="U49" s="17">
        <f t="shared" si="7"/>
        <v>0.91025993383249171</v>
      </c>
    </row>
    <row r="50" spans="2:21" ht="24.95" customHeight="1">
      <c r="B50" s="18"/>
      <c r="C50" s="10"/>
      <c r="D50" s="10"/>
      <c r="E50" s="10" t="s">
        <v>50</v>
      </c>
      <c r="F50" s="12">
        <v>23988000</v>
      </c>
      <c r="G50" s="12">
        <v>26340225.960000001</v>
      </c>
      <c r="H50" s="12">
        <f>+F50-G50</f>
        <v>-2352225.9600000009</v>
      </c>
      <c r="I50" s="13"/>
      <c r="J50" s="12"/>
      <c r="K50" s="12"/>
      <c r="L50" s="12">
        <f>+J50-K50</f>
        <v>0</v>
      </c>
      <c r="M50" s="12"/>
      <c r="N50" s="12"/>
      <c r="O50" s="12"/>
      <c r="P50" s="12">
        <f>+N50-O50</f>
        <v>0</v>
      </c>
      <c r="Q50" s="13"/>
      <c r="R50" s="12">
        <f>+F50+J50+N50</f>
        <v>23988000</v>
      </c>
      <c r="S50" s="12">
        <f>+G50+K50+O50</f>
        <v>26340225.960000001</v>
      </c>
      <c r="T50" s="14">
        <f>+R50-S50</f>
        <v>-2352225.9600000009</v>
      </c>
      <c r="U50" s="17">
        <f t="shared" si="7"/>
        <v>1.0980584442221111</v>
      </c>
    </row>
    <row r="51" spans="2:21" ht="27.75" customHeight="1">
      <c r="B51" s="18"/>
      <c r="C51" s="10"/>
      <c r="D51" s="10"/>
      <c r="E51" s="31" t="s">
        <v>51</v>
      </c>
      <c r="F51" s="32">
        <f t="shared" ref="F51:T51" si="15">SUM(F13:F48)</f>
        <v>1069139733.73</v>
      </c>
      <c r="G51" s="32">
        <f t="shared" si="15"/>
        <v>662793686.22000027</v>
      </c>
      <c r="H51" s="32">
        <f t="shared" si="15"/>
        <v>406346047.50999993</v>
      </c>
      <c r="I51" s="32">
        <f t="shared" si="15"/>
        <v>2208000</v>
      </c>
      <c r="J51" s="32">
        <f t="shared" si="15"/>
        <v>18426026</v>
      </c>
      <c r="K51" s="32">
        <f t="shared" si="15"/>
        <v>17507464.57</v>
      </c>
      <c r="L51" s="32">
        <f>SUM(L13:L48)</f>
        <v>918561.4299999997</v>
      </c>
      <c r="M51" s="32">
        <f t="shared" si="15"/>
        <v>0</v>
      </c>
      <c r="N51" s="32">
        <f t="shared" si="15"/>
        <v>76673625.590000004</v>
      </c>
      <c r="O51" s="32">
        <f t="shared" si="15"/>
        <v>28505205.779999997</v>
      </c>
      <c r="P51" s="32">
        <f>SUM(P13:P48)</f>
        <v>48168419.810000002</v>
      </c>
      <c r="Q51" s="32">
        <f t="shared" si="15"/>
        <v>0</v>
      </c>
      <c r="R51" s="32">
        <f t="shared" si="15"/>
        <v>1164239385.3200002</v>
      </c>
      <c r="S51" s="32">
        <f t="shared" si="15"/>
        <v>708806356.57000005</v>
      </c>
      <c r="T51" s="32">
        <f t="shared" si="15"/>
        <v>455433028.75000006</v>
      </c>
      <c r="U51" s="17">
        <f t="shared" si="7"/>
        <v>0.60881496151685266</v>
      </c>
    </row>
    <row r="52" spans="2:21" ht="27.75" customHeight="1">
      <c r="B52" s="18"/>
      <c r="C52" s="10"/>
      <c r="D52" s="10"/>
      <c r="E52" s="31"/>
      <c r="F52" s="32"/>
      <c r="G52" s="32"/>
      <c r="H52" s="32"/>
      <c r="I52" s="33"/>
      <c r="J52" s="32"/>
      <c r="K52" s="32"/>
      <c r="L52" s="32"/>
      <c r="M52" s="32"/>
      <c r="N52" s="32"/>
      <c r="O52" s="32"/>
      <c r="P52" s="32"/>
      <c r="Q52" s="33"/>
      <c r="R52" s="32"/>
      <c r="S52" s="32"/>
      <c r="T52" s="34"/>
      <c r="U52" s="17"/>
    </row>
    <row r="53" spans="2:21" ht="24.95" customHeight="1">
      <c r="B53" s="18"/>
      <c r="C53" s="24" t="s">
        <v>52</v>
      </c>
      <c r="D53" s="10"/>
      <c r="E53" s="22"/>
      <c r="F53" s="12">
        <f>SUM(F55:F80)</f>
        <v>482684859</v>
      </c>
      <c r="G53" s="12">
        <f t="shared" ref="G53:T53" si="16">SUM(G55:G80)</f>
        <v>256497542.01000002</v>
      </c>
      <c r="H53" s="12">
        <f t="shared" si="16"/>
        <v>226187316.98999998</v>
      </c>
      <c r="I53" s="12">
        <f t="shared" si="16"/>
        <v>0</v>
      </c>
      <c r="J53" s="12">
        <f>SUM(J55:J80)</f>
        <v>54720628</v>
      </c>
      <c r="K53" s="12">
        <f t="shared" ref="K53" si="17">SUM(K55:K80)</f>
        <v>42877331.700000003</v>
      </c>
      <c r="L53" s="12">
        <f>SUM(L55:L80)</f>
        <v>11843296.300000001</v>
      </c>
      <c r="M53" s="12">
        <f t="shared" si="16"/>
        <v>0</v>
      </c>
      <c r="N53" s="12">
        <f>SUM(N55:N80)</f>
        <v>33873381</v>
      </c>
      <c r="O53" s="12">
        <f t="shared" ref="O53" si="18">SUM(O55:O80)</f>
        <v>4024249.52</v>
      </c>
      <c r="P53" s="12">
        <f>SUM(P55:P80)</f>
        <v>29849131.48</v>
      </c>
      <c r="Q53" s="12">
        <f t="shared" si="16"/>
        <v>0</v>
      </c>
      <c r="R53" s="12">
        <f t="shared" si="16"/>
        <v>571278868</v>
      </c>
      <c r="S53" s="12">
        <f t="shared" si="16"/>
        <v>303399123.22999996</v>
      </c>
      <c r="T53" s="14">
        <f t="shared" si="16"/>
        <v>267879744.76999998</v>
      </c>
      <c r="U53" s="17">
        <f>+S53/R53</f>
        <v>0.53108760051316994</v>
      </c>
    </row>
    <row r="54" spans="2:21" ht="24.95" customHeight="1">
      <c r="B54" s="18"/>
      <c r="C54" s="20" t="s">
        <v>53</v>
      </c>
      <c r="D54" s="20"/>
      <c r="E54" s="10"/>
      <c r="F54" s="12"/>
      <c r="G54" s="12"/>
      <c r="H54" s="12">
        <f t="shared" ref="H54:H59" si="19">+F54-G54</f>
        <v>0</v>
      </c>
      <c r="I54" s="13"/>
      <c r="J54" s="12"/>
      <c r="K54" s="12"/>
      <c r="L54" s="12">
        <f t="shared" ref="L54:L59" si="20">+J54-K54</f>
        <v>0</v>
      </c>
      <c r="M54" s="12"/>
      <c r="N54" s="12"/>
      <c r="O54" s="12"/>
      <c r="P54" s="12">
        <f t="shared" ref="P54:P59" si="21">+N54-O54</f>
        <v>0</v>
      </c>
      <c r="Q54" s="13"/>
      <c r="R54" s="12"/>
      <c r="S54" s="12"/>
      <c r="T54" s="14"/>
      <c r="U54" s="17"/>
    </row>
    <row r="55" spans="2:21" ht="24.95" customHeight="1">
      <c r="B55" s="18"/>
      <c r="C55" s="20"/>
      <c r="D55" s="20"/>
      <c r="E55" s="10" t="s">
        <v>54</v>
      </c>
      <c r="F55" s="35">
        <v>38608000</v>
      </c>
      <c r="G55" s="36">
        <v>11765507.84</v>
      </c>
      <c r="H55" s="12">
        <f t="shared" si="19"/>
        <v>26842492.16</v>
      </c>
      <c r="I55" s="13"/>
      <c r="J55" s="35"/>
      <c r="K55" s="36">
        <v>24622723.739999998</v>
      </c>
      <c r="L55" s="12">
        <f t="shared" si="20"/>
        <v>-24622723.739999998</v>
      </c>
      <c r="M55" s="12"/>
      <c r="N55" s="35"/>
      <c r="O55" s="36"/>
      <c r="P55" s="12">
        <f t="shared" si="21"/>
        <v>0</v>
      </c>
      <c r="Q55" s="13"/>
      <c r="R55" s="12">
        <f>+F55+J55+N55</f>
        <v>38608000</v>
      </c>
      <c r="S55" s="12">
        <f t="shared" ref="R55:S59" si="22">+G55+K55+O55</f>
        <v>36388231.579999998</v>
      </c>
      <c r="T55" s="14">
        <f>+R55-S55</f>
        <v>2219768.4200000018</v>
      </c>
      <c r="U55" s="17">
        <f t="shared" si="7"/>
        <v>0.94250496218400326</v>
      </c>
    </row>
    <row r="56" spans="2:21" ht="30" customHeight="1">
      <c r="B56" s="18"/>
      <c r="C56" s="10"/>
      <c r="D56" s="10"/>
      <c r="E56" s="21" t="s">
        <v>55</v>
      </c>
      <c r="F56" s="36">
        <v>33572000</v>
      </c>
      <c r="G56" s="37">
        <v>34313210.25</v>
      </c>
      <c r="H56" s="12">
        <f t="shared" si="19"/>
        <v>-741210.25</v>
      </c>
      <c r="I56" s="13"/>
      <c r="J56" s="36">
        <v>789729</v>
      </c>
      <c r="K56" s="37">
        <v>786270.82</v>
      </c>
      <c r="L56" s="12">
        <f t="shared" si="20"/>
        <v>3458.1800000000512</v>
      </c>
      <c r="M56" s="38"/>
      <c r="N56" s="36">
        <v>698365</v>
      </c>
      <c r="O56" s="37">
        <v>698365</v>
      </c>
      <c r="P56" s="12">
        <f t="shared" si="21"/>
        <v>0</v>
      </c>
      <c r="Q56" s="39"/>
      <c r="R56" s="38">
        <f t="shared" si="22"/>
        <v>35060094</v>
      </c>
      <c r="S56" s="38">
        <f t="shared" si="22"/>
        <v>35797846.07</v>
      </c>
      <c r="T56" s="40">
        <f>+R56-S56</f>
        <v>-737752.0700000003</v>
      </c>
      <c r="U56" s="17">
        <f t="shared" si="7"/>
        <v>1.0210425011980857</v>
      </c>
    </row>
    <row r="57" spans="2:21" ht="30" customHeight="1">
      <c r="B57" s="18"/>
      <c r="C57" s="10"/>
      <c r="D57" s="10"/>
      <c r="E57" s="21" t="s">
        <v>56</v>
      </c>
      <c r="F57" s="12">
        <v>12709668</v>
      </c>
      <c r="G57" s="12">
        <v>6496512.2400000002</v>
      </c>
      <c r="H57" s="12">
        <f t="shared" si="19"/>
        <v>6213155.7599999998</v>
      </c>
      <c r="I57" s="13"/>
      <c r="J57" s="12"/>
      <c r="K57" s="12"/>
      <c r="L57" s="12">
        <f t="shared" si="20"/>
        <v>0</v>
      </c>
      <c r="M57" s="12"/>
      <c r="N57" s="12">
        <v>149668</v>
      </c>
      <c r="O57" s="12">
        <v>149668</v>
      </c>
      <c r="P57" s="12">
        <f t="shared" si="21"/>
        <v>0</v>
      </c>
      <c r="Q57" s="13"/>
      <c r="R57" s="12">
        <f t="shared" si="22"/>
        <v>12859336</v>
      </c>
      <c r="S57" s="12">
        <f t="shared" si="22"/>
        <v>6646180.2400000002</v>
      </c>
      <c r="T57" s="14">
        <f>+R57-S57</f>
        <v>6213155.7599999998</v>
      </c>
      <c r="U57" s="17">
        <f t="shared" si="7"/>
        <v>0.51683696887615349</v>
      </c>
    </row>
    <row r="58" spans="2:21" ht="24.95" customHeight="1">
      <c r="B58" s="18"/>
      <c r="C58" s="10"/>
      <c r="D58" s="10"/>
      <c r="E58" s="28" t="s">
        <v>57</v>
      </c>
      <c r="F58" s="12">
        <v>1493000</v>
      </c>
      <c r="G58" s="12">
        <v>1585721.3799999997</v>
      </c>
      <c r="H58" s="12">
        <f t="shared" si="19"/>
        <v>-92721.379999999655</v>
      </c>
      <c r="I58" s="13"/>
      <c r="J58" s="12"/>
      <c r="K58" s="12"/>
      <c r="L58" s="12">
        <f t="shared" si="20"/>
        <v>0</v>
      </c>
      <c r="M58" s="12"/>
      <c r="N58" s="12">
        <v>29576000</v>
      </c>
      <c r="O58" s="12"/>
      <c r="P58" s="12">
        <f t="shared" si="21"/>
        <v>29576000</v>
      </c>
      <c r="Q58" s="13"/>
      <c r="R58" s="12">
        <f t="shared" si="22"/>
        <v>31069000</v>
      </c>
      <c r="S58" s="12">
        <f t="shared" si="22"/>
        <v>1585721.3799999997</v>
      </c>
      <c r="T58" s="14">
        <f>+R58-S58</f>
        <v>29483278.620000001</v>
      </c>
      <c r="U58" s="17">
        <f t="shared" si="7"/>
        <v>5.10387003122083E-2</v>
      </c>
    </row>
    <row r="59" spans="2:21" ht="29.25" customHeight="1">
      <c r="B59" s="18"/>
      <c r="C59" s="10"/>
      <c r="D59" s="10"/>
      <c r="E59" s="21" t="s">
        <v>58</v>
      </c>
      <c r="F59" s="12">
        <v>15207000</v>
      </c>
      <c r="G59" s="12">
        <v>2451617.87</v>
      </c>
      <c r="H59" s="12">
        <f t="shared" si="19"/>
        <v>12755382.129999999</v>
      </c>
      <c r="I59" s="13"/>
      <c r="J59" s="12"/>
      <c r="K59" s="12"/>
      <c r="L59" s="12">
        <f t="shared" si="20"/>
        <v>0</v>
      </c>
      <c r="M59" s="12"/>
      <c r="N59" s="12"/>
      <c r="O59" s="12"/>
      <c r="P59" s="12">
        <f t="shared" si="21"/>
        <v>0</v>
      </c>
      <c r="Q59" s="13"/>
      <c r="R59" s="12">
        <f t="shared" si="22"/>
        <v>15207000</v>
      </c>
      <c r="S59" s="12">
        <f t="shared" si="22"/>
        <v>2451617.87</v>
      </c>
      <c r="T59" s="14">
        <f>+R59-S59</f>
        <v>12755382.129999999</v>
      </c>
      <c r="U59" s="17">
        <f t="shared" si="7"/>
        <v>0.1612164049450911</v>
      </c>
    </row>
    <row r="60" spans="2:21" ht="24.95" customHeight="1">
      <c r="B60" s="18"/>
      <c r="C60" s="10"/>
      <c r="D60" s="10"/>
      <c r="E60" s="21"/>
      <c r="F60" s="12"/>
      <c r="G60" s="12"/>
      <c r="H60" s="12"/>
      <c r="I60" s="13"/>
      <c r="J60" s="12"/>
      <c r="K60" s="12"/>
      <c r="L60" s="12"/>
      <c r="M60" s="12"/>
      <c r="N60" s="12"/>
      <c r="O60" s="12"/>
      <c r="P60" s="12"/>
      <c r="Q60" s="13"/>
      <c r="R60" s="12"/>
      <c r="S60" s="12"/>
      <c r="T60" s="14"/>
      <c r="U60" s="17"/>
    </row>
    <row r="61" spans="2:21" ht="24.95" customHeight="1">
      <c r="B61" s="18"/>
      <c r="C61" s="20" t="s">
        <v>59</v>
      </c>
      <c r="D61" s="20"/>
      <c r="E61" s="10"/>
      <c r="F61" s="12"/>
      <c r="G61" s="12"/>
      <c r="H61" s="12"/>
      <c r="I61" s="13"/>
      <c r="J61" s="12"/>
      <c r="K61" s="12"/>
      <c r="L61" s="12"/>
      <c r="M61" s="12"/>
      <c r="N61" s="12"/>
      <c r="O61" s="12"/>
      <c r="P61" s="12"/>
      <c r="Q61" s="13"/>
      <c r="R61" s="12"/>
      <c r="S61" s="12"/>
      <c r="T61" s="14"/>
      <c r="U61" s="17"/>
    </row>
    <row r="62" spans="2:21" ht="24.95" customHeight="1">
      <c r="B62" s="18"/>
      <c r="C62" s="20"/>
      <c r="D62" s="20"/>
      <c r="E62" s="10" t="s">
        <v>60</v>
      </c>
      <c r="F62" s="12">
        <v>20906722</v>
      </c>
      <c r="G62" s="12">
        <v>38132139.600000001</v>
      </c>
      <c r="H62" s="12">
        <f>+F62-G62</f>
        <v>-17225417.600000001</v>
      </c>
      <c r="I62" s="13"/>
      <c r="J62" s="12"/>
      <c r="K62" s="12"/>
      <c r="L62" s="12">
        <f>+J62-K62</f>
        <v>0</v>
      </c>
      <c r="M62" s="12"/>
      <c r="N62" s="12"/>
      <c r="O62" s="12"/>
      <c r="P62" s="12">
        <f>+N62-O62</f>
        <v>0</v>
      </c>
      <c r="Q62" s="13"/>
      <c r="R62" s="12">
        <f t="shared" ref="R62:S65" si="23">+F62+J62+N62</f>
        <v>20906722</v>
      </c>
      <c r="S62" s="12">
        <f t="shared" si="23"/>
        <v>38132139.600000001</v>
      </c>
      <c r="T62" s="14">
        <f>+R62-S62</f>
        <v>-17225417.600000001</v>
      </c>
      <c r="U62" s="17">
        <f t="shared" si="7"/>
        <v>1.8239176662893399</v>
      </c>
    </row>
    <row r="63" spans="2:21" ht="30" customHeight="1">
      <c r="B63" s="18"/>
      <c r="C63" s="10"/>
      <c r="D63" s="10"/>
      <c r="E63" s="21" t="s">
        <v>61</v>
      </c>
      <c r="F63" s="12">
        <v>15707444</v>
      </c>
      <c r="G63" s="12">
        <v>10678383.42</v>
      </c>
      <c r="H63" s="12">
        <f>+F63-G63</f>
        <v>5029060.58</v>
      </c>
      <c r="I63" s="13"/>
      <c r="J63" s="12"/>
      <c r="K63" s="12"/>
      <c r="L63" s="12">
        <f>+J63-K63</f>
        <v>0</v>
      </c>
      <c r="M63" s="12"/>
      <c r="N63" s="12">
        <v>170944</v>
      </c>
      <c r="O63" s="12"/>
      <c r="P63" s="12">
        <f>+N63-O63</f>
        <v>170944</v>
      </c>
      <c r="Q63" s="13"/>
      <c r="R63" s="12">
        <f t="shared" si="23"/>
        <v>15878388</v>
      </c>
      <c r="S63" s="12">
        <f t="shared" si="23"/>
        <v>10678383.42</v>
      </c>
      <c r="T63" s="14">
        <f>+R63-S63</f>
        <v>5200004.58</v>
      </c>
      <c r="U63" s="17">
        <f t="shared" si="7"/>
        <v>0.67251054829999113</v>
      </c>
    </row>
    <row r="64" spans="2:21" ht="30" customHeight="1">
      <c r="B64" s="18"/>
      <c r="C64" s="10"/>
      <c r="D64" s="10"/>
      <c r="E64" s="22" t="s">
        <v>62</v>
      </c>
      <c r="F64" s="12">
        <v>16822316</v>
      </c>
      <c r="G64" s="12">
        <v>18254223.640000001</v>
      </c>
      <c r="H64" s="12">
        <f>+F64-G64</f>
        <v>-1431907.6400000006</v>
      </c>
      <c r="I64" s="13"/>
      <c r="J64" s="12"/>
      <c r="K64" s="12"/>
      <c r="L64" s="12">
        <f>+J64-K64</f>
        <v>0</v>
      </c>
      <c r="M64" s="12"/>
      <c r="N64" s="12">
        <v>464527</v>
      </c>
      <c r="O64" s="12">
        <v>464526.34</v>
      </c>
      <c r="P64" s="12">
        <f>+N64-O64</f>
        <v>0.65999999997438863</v>
      </c>
      <c r="Q64" s="13"/>
      <c r="R64" s="12">
        <f t="shared" si="23"/>
        <v>17286843</v>
      </c>
      <c r="S64" s="12">
        <f t="shared" si="23"/>
        <v>18718749.98</v>
      </c>
      <c r="T64" s="14">
        <f>+R64-S64</f>
        <v>-1431906.9800000004</v>
      </c>
      <c r="U64" s="17">
        <f t="shared" si="7"/>
        <v>1.0828321851479765</v>
      </c>
    </row>
    <row r="65" spans="2:21" ht="30" customHeight="1">
      <c r="B65" s="18"/>
      <c r="C65" s="10"/>
      <c r="D65" s="10"/>
      <c r="E65" s="21" t="s">
        <v>63</v>
      </c>
      <c r="F65" s="12">
        <v>13414626</v>
      </c>
      <c r="G65" s="12">
        <v>20107801.600000001</v>
      </c>
      <c r="H65" s="12">
        <f>+F65-G65</f>
        <v>-6693175.6000000015</v>
      </c>
      <c r="I65" s="13"/>
      <c r="J65" s="12"/>
      <c r="K65" s="12"/>
      <c r="L65" s="12">
        <f>+J65-K65</f>
        <v>0</v>
      </c>
      <c r="M65" s="12"/>
      <c r="N65" s="12">
        <v>962038</v>
      </c>
      <c r="O65" s="12">
        <v>962037.95</v>
      </c>
      <c r="P65" s="12">
        <f>+N65-O65</f>
        <v>5.0000000046566129E-2</v>
      </c>
      <c r="Q65" s="13"/>
      <c r="R65" s="12">
        <f t="shared" si="23"/>
        <v>14376664</v>
      </c>
      <c r="S65" s="12">
        <f t="shared" si="23"/>
        <v>21069839.550000001</v>
      </c>
      <c r="T65" s="14">
        <f>+R65-S65</f>
        <v>-6693175.5500000007</v>
      </c>
      <c r="U65" s="17">
        <f t="shared" si="7"/>
        <v>1.4655583207620351</v>
      </c>
    </row>
    <row r="66" spans="2:21" ht="24.95" customHeight="1">
      <c r="B66" s="18"/>
      <c r="C66" s="10"/>
      <c r="D66" s="10"/>
      <c r="E66" s="21"/>
      <c r="F66" s="12"/>
      <c r="G66" s="12"/>
      <c r="H66" s="12"/>
      <c r="I66" s="13"/>
      <c r="J66" s="12"/>
      <c r="K66" s="12"/>
      <c r="L66" s="12"/>
      <c r="M66" s="12"/>
      <c r="N66" s="12"/>
      <c r="O66" s="12"/>
      <c r="P66" s="12"/>
      <c r="Q66" s="13"/>
      <c r="R66" s="12"/>
      <c r="S66" s="12"/>
      <c r="T66" s="14"/>
      <c r="U66" s="17"/>
    </row>
    <row r="67" spans="2:21" ht="24.95" customHeight="1">
      <c r="B67" s="18"/>
      <c r="C67" s="20" t="s">
        <v>64</v>
      </c>
      <c r="D67" s="20"/>
      <c r="E67" s="10"/>
      <c r="F67" s="12"/>
      <c r="G67" s="12"/>
      <c r="H67" s="12"/>
      <c r="I67" s="13"/>
      <c r="J67" s="12"/>
      <c r="K67" s="12"/>
      <c r="L67" s="12"/>
      <c r="M67" s="12"/>
      <c r="N67" s="12"/>
      <c r="O67" s="12"/>
      <c r="P67" s="12"/>
      <c r="Q67" s="13"/>
      <c r="R67" s="12"/>
      <c r="S67" s="12"/>
      <c r="T67" s="14"/>
      <c r="U67" s="17"/>
    </row>
    <row r="68" spans="2:21" ht="24.95" customHeight="1">
      <c r="B68" s="18"/>
      <c r="C68" s="20"/>
      <c r="D68" s="20"/>
      <c r="E68" s="10" t="s">
        <v>65</v>
      </c>
      <c r="F68" s="12">
        <v>12549000</v>
      </c>
      <c r="G68" s="12">
        <v>14454355.16</v>
      </c>
      <c r="H68" s="12">
        <f>+F68-G68</f>
        <v>-1905355.1600000001</v>
      </c>
      <c r="I68" s="13"/>
      <c r="J68" s="12">
        <v>50000000</v>
      </c>
      <c r="K68" s="12">
        <v>15161286.140000001</v>
      </c>
      <c r="L68" s="12">
        <f>+J68-K68</f>
        <v>34838713.859999999</v>
      </c>
      <c r="M68" s="12"/>
      <c r="N68" s="12">
        <v>720633</v>
      </c>
      <c r="O68" s="12">
        <v>719883</v>
      </c>
      <c r="P68" s="12">
        <f>+N68-O68</f>
        <v>750</v>
      </c>
      <c r="Q68" s="13"/>
      <c r="R68" s="12">
        <f t="shared" ref="R68:S72" si="24">+F68+J68+N68</f>
        <v>63269633</v>
      </c>
      <c r="S68" s="12">
        <f t="shared" si="24"/>
        <v>30335524.300000001</v>
      </c>
      <c r="T68" s="14">
        <f>+R68-S68</f>
        <v>32934108.699999999</v>
      </c>
      <c r="U68" s="17">
        <f t="shared" si="7"/>
        <v>0.47946420520567901</v>
      </c>
    </row>
    <row r="69" spans="2:21" ht="30.75" customHeight="1">
      <c r="B69" s="18"/>
      <c r="C69" s="10"/>
      <c r="D69" s="10"/>
      <c r="E69" s="21" t="s">
        <v>66</v>
      </c>
      <c r="F69" s="12">
        <v>69018000</v>
      </c>
      <c r="G69" s="12">
        <v>13111041.720000001</v>
      </c>
      <c r="H69" s="12">
        <f>+F69-G69</f>
        <v>55906958.280000001</v>
      </c>
      <c r="I69" s="13"/>
      <c r="J69" s="12">
        <v>934136</v>
      </c>
      <c r="K69" s="12">
        <v>934136</v>
      </c>
      <c r="L69" s="12">
        <f>+J69-K69</f>
        <v>0</v>
      </c>
      <c r="M69" s="12"/>
      <c r="N69" s="12">
        <v>355640</v>
      </c>
      <c r="O69" s="12">
        <v>355640</v>
      </c>
      <c r="P69" s="12">
        <f>+N69-O69</f>
        <v>0</v>
      </c>
      <c r="Q69" s="13"/>
      <c r="R69" s="12">
        <f t="shared" si="24"/>
        <v>70307776</v>
      </c>
      <c r="S69" s="12">
        <f t="shared" si="24"/>
        <v>14400817.720000001</v>
      </c>
      <c r="T69" s="14">
        <f>+R69-S69</f>
        <v>55906958.280000001</v>
      </c>
      <c r="U69" s="17">
        <f t="shared" si="7"/>
        <v>0.20482539114876852</v>
      </c>
    </row>
    <row r="70" spans="2:21" ht="30.75" customHeight="1">
      <c r="B70" s="18"/>
      <c r="C70" s="10"/>
      <c r="D70" s="10"/>
      <c r="E70" s="21" t="s">
        <v>67</v>
      </c>
      <c r="F70" s="12">
        <v>11273000</v>
      </c>
      <c r="G70" s="12">
        <v>9534925.5800000001</v>
      </c>
      <c r="H70" s="12">
        <f>+F70-G70</f>
        <v>1738074.42</v>
      </c>
      <c r="I70" s="13"/>
      <c r="J70" s="12"/>
      <c r="K70" s="12"/>
      <c r="L70" s="12">
        <f>+J70-K70</f>
        <v>0</v>
      </c>
      <c r="M70" s="12"/>
      <c r="N70" s="12">
        <v>528203</v>
      </c>
      <c r="O70" s="12">
        <v>426767.02</v>
      </c>
      <c r="P70" s="12">
        <f>+N70-O70</f>
        <v>101435.97999999998</v>
      </c>
      <c r="Q70" s="13"/>
      <c r="R70" s="12">
        <f t="shared" si="24"/>
        <v>11801203</v>
      </c>
      <c r="S70" s="12">
        <f t="shared" si="24"/>
        <v>9961692.5999999996</v>
      </c>
      <c r="T70" s="14">
        <f>+R70-S70</f>
        <v>1839510.4000000004</v>
      </c>
      <c r="U70" s="17">
        <f t="shared" si="7"/>
        <v>0.84412517944145182</v>
      </c>
    </row>
    <row r="71" spans="2:21" ht="30.75" customHeight="1">
      <c r="B71" s="18"/>
      <c r="C71" s="10"/>
      <c r="D71" s="10"/>
      <c r="E71" s="22" t="s">
        <v>68</v>
      </c>
      <c r="F71" s="12">
        <v>4232000</v>
      </c>
      <c r="G71" s="12">
        <v>2434318.61</v>
      </c>
      <c r="H71" s="12">
        <f>+F71-G71</f>
        <v>1797681.3900000001</v>
      </c>
      <c r="I71" s="13"/>
      <c r="J71" s="12">
        <v>1372915</v>
      </c>
      <c r="K71" s="12">
        <v>1372915</v>
      </c>
      <c r="L71" s="12">
        <f>+J71-K71</f>
        <v>0</v>
      </c>
      <c r="M71" s="12"/>
      <c r="N71" s="12"/>
      <c r="O71" s="12"/>
      <c r="P71" s="12">
        <f>+N71-O71</f>
        <v>0</v>
      </c>
      <c r="Q71" s="13"/>
      <c r="R71" s="12">
        <f t="shared" si="24"/>
        <v>5604915</v>
      </c>
      <c r="S71" s="12">
        <f t="shared" si="24"/>
        <v>3807233.61</v>
      </c>
      <c r="T71" s="14">
        <f>+R71-S71</f>
        <v>1797681.3900000001</v>
      </c>
      <c r="U71" s="17">
        <f t="shared" si="7"/>
        <v>0.6792669665820088</v>
      </c>
    </row>
    <row r="72" spans="2:21" ht="24.95" customHeight="1">
      <c r="B72" s="18"/>
      <c r="C72" s="10"/>
      <c r="D72" s="10"/>
      <c r="E72" s="41" t="s">
        <v>69</v>
      </c>
      <c r="F72" s="12">
        <v>4783000</v>
      </c>
      <c r="G72" s="12">
        <v>2010314.14</v>
      </c>
      <c r="H72" s="12">
        <f>+F72-G72</f>
        <v>2772685.8600000003</v>
      </c>
      <c r="I72" s="13"/>
      <c r="J72" s="12"/>
      <c r="K72" s="12"/>
      <c r="L72" s="12">
        <f>+J72-K72</f>
        <v>0</v>
      </c>
      <c r="M72" s="12"/>
      <c r="N72" s="12"/>
      <c r="O72" s="12"/>
      <c r="P72" s="12">
        <f>+N72-O72</f>
        <v>0</v>
      </c>
      <c r="Q72" s="13"/>
      <c r="R72" s="12">
        <f t="shared" si="24"/>
        <v>4783000</v>
      </c>
      <c r="S72" s="12">
        <f t="shared" si="24"/>
        <v>2010314.14</v>
      </c>
      <c r="T72" s="14">
        <f>+R72-S72</f>
        <v>2772685.8600000003</v>
      </c>
      <c r="U72" s="17">
        <f t="shared" si="7"/>
        <v>0.42030402257997068</v>
      </c>
    </row>
    <row r="73" spans="2:21" ht="24.95" customHeight="1">
      <c r="B73" s="18"/>
      <c r="C73" s="10"/>
      <c r="D73" s="10"/>
      <c r="E73" s="41"/>
      <c r="F73" s="12"/>
      <c r="G73" s="12"/>
      <c r="H73" s="12"/>
      <c r="I73" s="13"/>
      <c r="J73" s="12"/>
      <c r="K73" s="12"/>
      <c r="L73" s="12"/>
      <c r="M73" s="12"/>
      <c r="N73" s="12"/>
      <c r="O73" s="12"/>
      <c r="P73" s="12"/>
      <c r="Q73" s="13"/>
      <c r="R73" s="12"/>
      <c r="S73" s="12"/>
      <c r="T73" s="14"/>
      <c r="U73" s="17"/>
    </row>
    <row r="74" spans="2:21" ht="24.95" customHeight="1">
      <c r="B74" s="18"/>
      <c r="C74" s="20" t="s">
        <v>70</v>
      </c>
      <c r="D74" s="20"/>
      <c r="E74" s="10"/>
      <c r="F74" s="12"/>
      <c r="G74" s="12"/>
      <c r="H74" s="12"/>
      <c r="I74" s="13"/>
      <c r="J74" s="12"/>
      <c r="K74" s="12"/>
      <c r="L74" s="12"/>
      <c r="M74" s="12"/>
      <c r="N74" s="12"/>
      <c r="O74" s="12"/>
      <c r="P74" s="12"/>
      <c r="Q74" s="13"/>
      <c r="R74" s="12"/>
      <c r="S74" s="12"/>
      <c r="T74" s="14"/>
      <c r="U74" s="17"/>
    </row>
    <row r="75" spans="2:21" ht="24.95" customHeight="1">
      <c r="B75" s="18"/>
      <c r="C75" s="20"/>
      <c r="D75" s="20"/>
      <c r="E75" s="10" t="s">
        <v>71</v>
      </c>
      <c r="F75" s="12">
        <v>151623000</v>
      </c>
      <c r="G75" s="12">
        <v>17139693.489999998</v>
      </c>
      <c r="H75" s="12">
        <f t="shared" ref="H75:H80" si="25">+F75-G75</f>
        <v>134483306.50999999</v>
      </c>
      <c r="I75" s="13"/>
      <c r="J75" s="12">
        <v>1623848</v>
      </c>
      <c r="K75" s="12"/>
      <c r="L75" s="12">
        <f t="shared" ref="L75:L80" si="26">+J75-K75</f>
        <v>1623848</v>
      </c>
      <c r="M75" s="12"/>
      <c r="N75" s="12"/>
      <c r="O75" s="12"/>
      <c r="P75" s="12">
        <f t="shared" ref="P75:P80" si="27">+N75-O75</f>
        <v>0</v>
      </c>
      <c r="Q75" s="13"/>
      <c r="R75" s="12">
        <f t="shared" ref="R75:S80" si="28">+F75+J75+N75</f>
        <v>153246848</v>
      </c>
      <c r="S75" s="12">
        <f t="shared" si="28"/>
        <v>17139693.489999998</v>
      </c>
      <c r="T75" s="14">
        <f t="shared" ref="T75:T80" si="29">+R75-S75</f>
        <v>136107154.50999999</v>
      </c>
      <c r="U75" s="17">
        <f t="shared" ref="U75:U137" si="30">+S75/R75</f>
        <v>0.11184369345071292</v>
      </c>
    </row>
    <row r="76" spans="2:21" ht="28.5" customHeight="1">
      <c r="B76" s="18"/>
      <c r="C76" s="10"/>
      <c r="D76" s="10"/>
      <c r="E76" s="21" t="s">
        <v>72</v>
      </c>
      <c r="F76" s="12">
        <v>26201083</v>
      </c>
      <c r="G76" s="12">
        <v>22823261.620000001</v>
      </c>
      <c r="H76" s="12">
        <f t="shared" si="25"/>
        <v>3377821.379999999</v>
      </c>
      <c r="I76" s="13"/>
      <c r="J76" s="12"/>
      <c r="K76" s="12"/>
      <c r="L76" s="12">
        <f t="shared" si="26"/>
        <v>0</v>
      </c>
      <c r="M76" s="12"/>
      <c r="N76" s="12"/>
      <c r="O76" s="12"/>
      <c r="P76" s="12">
        <f t="shared" si="27"/>
        <v>0</v>
      </c>
      <c r="Q76" s="13"/>
      <c r="R76" s="12">
        <f t="shared" si="28"/>
        <v>26201083</v>
      </c>
      <c r="S76" s="12">
        <f t="shared" si="28"/>
        <v>22823261.620000001</v>
      </c>
      <c r="T76" s="14">
        <f t="shared" si="29"/>
        <v>3377821.379999999</v>
      </c>
      <c r="U76" s="17">
        <f t="shared" si="30"/>
        <v>0.87108084883361503</v>
      </c>
    </row>
    <row r="77" spans="2:21" ht="28.5" customHeight="1">
      <c r="B77" s="18"/>
      <c r="C77" s="10"/>
      <c r="D77" s="10"/>
      <c r="E77" s="21" t="s">
        <v>73</v>
      </c>
      <c r="F77" s="12">
        <v>1770000</v>
      </c>
      <c r="G77" s="12">
        <v>1400426.2</v>
      </c>
      <c r="H77" s="12">
        <f t="shared" si="25"/>
        <v>369573.80000000005</v>
      </c>
      <c r="I77" s="13"/>
      <c r="J77" s="12"/>
      <c r="K77" s="12"/>
      <c r="L77" s="12">
        <f t="shared" si="26"/>
        <v>0</v>
      </c>
      <c r="M77" s="12"/>
      <c r="N77" s="12"/>
      <c r="O77" s="12"/>
      <c r="P77" s="12">
        <f t="shared" si="27"/>
        <v>0</v>
      </c>
      <c r="Q77" s="13"/>
      <c r="R77" s="12">
        <f t="shared" si="28"/>
        <v>1770000</v>
      </c>
      <c r="S77" s="12">
        <f t="shared" si="28"/>
        <v>1400426.2</v>
      </c>
      <c r="T77" s="14">
        <f t="shared" si="29"/>
        <v>369573.80000000005</v>
      </c>
      <c r="U77" s="17">
        <f t="shared" si="30"/>
        <v>0.7912012429378531</v>
      </c>
    </row>
    <row r="78" spans="2:21" ht="28.5" customHeight="1">
      <c r="B78" s="18"/>
      <c r="C78" s="10"/>
      <c r="D78" s="10"/>
      <c r="E78" s="21" t="s">
        <v>74</v>
      </c>
      <c r="F78" s="12">
        <v>17059000</v>
      </c>
      <c r="G78" s="12">
        <v>15188574.630000001</v>
      </c>
      <c r="H78" s="12">
        <f t="shared" si="25"/>
        <v>1870425.3699999992</v>
      </c>
      <c r="I78" s="13"/>
      <c r="J78" s="12"/>
      <c r="K78" s="12"/>
      <c r="L78" s="12">
        <f t="shared" si="26"/>
        <v>0</v>
      </c>
      <c r="M78" s="12"/>
      <c r="N78" s="12">
        <v>247363</v>
      </c>
      <c r="O78" s="12">
        <v>247362.21</v>
      </c>
      <c r="P78" s="12">
        <f t="shared" si="27"/>
        <v>0.79000000000814907</v>
      </c>
      <c r="Q78" s="13"/>
      <c r="R78" s="12">
        <f t="shared" si="28"/>
        <v>17306363</v>
      </c>
      <c r="S78" s="12">
        <f t="shared" si="28"/>
        <v>15435936.840000002</v>
      </c>
      <c r="T78" s="14">
        <f t="shared" si="29"/>
        <v>1870426.1599999983</v>
      </c>
      <c r="U78" s="17">
        <f t="shared" si="30"/>
        <v>0.89192263215558354</v>
      </c>
    </row>
    <row r="79" spans="2:21" ht="24.95" customHeight="1">
      <c r="B79" s="18"/>
      <c r="C79" s="10"/>
      <c r="D79" s="10"/>
      <c r="E79" s="28" t="s">
        <v>75</v>
      </c>
      <c r="F79" s="12">
        <v>5952000</v>
      </c>
      <c r="G79" s="12">
        <v>6235369.3700000001</v>
      </c>
      <c r="H79" s="12">
        <f t="shared" si="25"/>
        <v>-283369.37000000011</v>
      </c>
      <c r="I79" s="13"/>
      <c r="J79" s="12"/>
      <c r="K79" s="12"/>
      <c r="L79" s="12">
        <f t="shared" si="26"/>
        <v>0</v>
      </c>
      <c r="M79" s="12"/>
      <c r="N79" s="12"/>
      <c r="O79" s="12"/>
      <c r="P79" s="12">
        <f t="shared" si="27"/>
        <v>0</v>
      </c>
      <c r="Q79" s="13"/>
      <c r="R79" s="12">
        <f t="shared" si="28"/>
        <v>5952000</v>
      </c>
      <c r="S79" s="12">
        <f t="shared" si="28"/>
        <v>6235369.3700000001</v>
      </c>
      <c r="T79" s="14">
        <f t="shared" si="29"/>
        <v>-283369.37000000011</v>
      </c>
      <c r="U79" s="17">
        <f t="shared" si="30"/>
        <v>1.0476091011424731</v>
      </c>
    </row>
    <row r="80" spans="2:21" ht="24.95" customHeight="1">
      <c r="B80" s="18"/>
      <c r="C80" s="10"/>
      <c r="D80" s="10"/>
      <c r="E80" s="22" t="s">
        <v>76</v>
      </c>
      <c r="F80" s="12">
        <v>9784000</v>
      </c>
      <c r="G80" s="12">
        <v>8380143.6500000022</v>
      </c>
      <c r="H80" s="12">
        <f t="shared" si="25"/>
        <v>1403856.3499999978</v>
      </c>
      <c r="I80" s="13"/>
      <c r="J80" s="12"/>
      <c r="K80" s="12"/>
      <c r="L80" s="12">
        <f t="shared" si="26"/>
        <v>0</v>
      </c>
      <c r="M80" s="12"/>
      <c r="N80" s="12"/>
      <c r="O80" s="12"/>
      <c r="P80" s="12">
        <f t="shared" si="27"/>
        <v>0</v>
      </c>
      <c r="Q80" s="13"/>
      <c r="R80" s="12">
        <f t="shared" si="28"/>
        <v>9784000</v>
      </c>
      <c r="S80" s="12">
        <f t="shared" si="28"/>
        <v>8380143.6500000022</v>
      </c>
      <c r="T80" s="14">
        <f t="shared" si="29"/>
        <v>1403856.3499999978</v>
      </c>
      <c r="U80" s="17">
        <f t="shared" si="30"/>
        <v>0.8565150909648408</v>
      </c>
    </row>
    <row r="81" spans="2:21" ht="27.75" customHeight="1">
      <c r="B81" s="18"/>
      <c r="C81" s="10"/>
      <c r="D81" s="10"/>
      <c r="E81" s="31" t="s">
        <v>51</v>
      </c>
      <c r="F81" s="32">
        <f>SUM(F55:F80)</f>
        <v>482684859</v>
      </c>
      <c r="G81" s="32">
        <f t="shared" ref="G81:S81" si="31">SUM(G55:G80)</f>
        <v>256497542.01000002</v>
      </c>
      <c r="H81" s="32">
        <f t="shared" si="31"/>
        <v>226187316.98999998</v>
      </c>
      <c r="I81" s="32">
        <f t="shared" si="31"/>
        <v>0</v>
      </c>
      <c r="J81" s="32">
        <f>SUM(J55:J80)</f>
        <v>54720628</v>
      </c>
      <c r="K81" s="32">
        <f t="shared" ref="K81" si="32">SUM(K55:K80)</f>
        <v>42877331.700000003</v>
      </c>
      <c r="L81" s="32">
        <f>SUM(L55:L80)</f>
        <v>11843296.300000001</v>
      </c>
      <c r="M81" s="32">
        <f t="shared" si="31"/>
        <v>0</v>
      </c>
      <c r="N81" s="32">
        <f>SUM(N55:N80)</f>
        <v>33873381</v>
      </c>
      <c r="O81" s="32">
        <f t="shared" ref="O81" si="33">SUM(O55:O80)</f>
        <v>4024249.52</v>
      </c>
      <c r="P81" s="32">
        <f>SUM(P55:P80)</f>
        <v>29849131.48</v>
      </c>
      <c r="Q81" s="32">
        <f t="shared" si="31"/>
        <v>0</v>
      </c>
      <c r="R81" s="32">
        <f t="shared" si="31"/>
        <v>571278868</v>
      </c>
      <c r="S81" s="32">
        <f t="shared" si="31"/>
        <v>303399123.22999996</v>
      </c>
      <c r="T81" s="34">
        <f>SUM(T55:T80)</f>
        <v>267879744.76999998</v>
      </c>
      <c r="U81" s="17">
        <f t="shared" si="30"/>
        <v>0.53108760051316994</v>
      </c>
    </row>
    <row r="82" spans="2:21" ht="24.95" customHeight="1">
      <c r="B82" s="18"/>
      <c r="C82" s="10"/>
      <c r="D82" s="10"/>
      <c r="E82" s="22"/>
      <c r="F82" s="12"/>
      <c r="G82" s="12"/>
      <c r="H82" s="12"/>
      <c r="I82" s="13"/>
      <c r="J82" s="12"/>
      <c r="K82" s="12"/>
      <c r="L82" s="12"/>
      <c r="M82" s="12"/>
      <c r="N82" s="12"/>
      <c r="O82" s="12"/>
      <c r="P82" s="12"/>
      <c r="Q82" s="13"/>
      <c r="R82" s="12"/>
      <c r="S82" s="12"/>
      <c r="T82" s="14"/>
      <c r="U82" s="17"/>
    </row>
    <row r="83" spans="2:21" ht="24.95" customHeight="1">
      <c r="B83" s="18"/>
      <c r="C83" s="24" t="s">
        <v>77</v>
      </c>
      <c r="D83" s="10"/>
      <c r="E83" s="22"/>
      <c r="F83" s="12">
        <f>SUM(F85:F103)</f>
        <v>273590224</v>
      </c>
      <c r="G83" s="12">
        <f t="shared" ref="G83:T83" si="34">SUM(G85:G103)</f>
        <v>211001600.69999996</v>
      </c>
      <c r="H83" s="12">
        <f t="shared" si="34"/>
        <v>62588623.300000012</v>
      </c>
      <c r="I83" s="12">
        <f t="shared" si="34"/>
        <v>0</v>
      </c>
      <c r="J83" s="12">
        <f>SUM(J85:J103)</f>
        <v>166846310</v>
      </c>
      <c r="K83" s="12">
        <f t="shared" ref="K83" si="35">SUM(K85:K103)</f>
        <v>52501409.689999998</v>
      </c>
      <c r="L83" s="12">
        <f>SUM(L85:L103)</f>
        <v>114344900.30999999</v>
      </c>
      <c r="M83" s="12">
        <f t="shared" si="34"/>
        <v>0</v>
      </c>
      <c r="N83" s="12">
        <f>SUM(N85:N103)</f>
        <v>6788696.5300000003</v>
      </c>
      <c r="O83" s="12">
        <f t="shared" ref="O83" si="36">SUM(O85:O103)</f>
        <v>15008472.309999999</v>
      </c>
      <c r="P83" s="12">
        <f>SUM(P85:P103)</f>
        <v>-8219775.7799999984</v>
      </c>
      <c r="Q83" s="12">
        <f t="shared" si="34"/>
        <v>0</v>
      </c>
      <c r="R83" s="12">
        <f t="shared" si="34"/>
        <v>447225230.52999997</v>
      </c>
      <c r="S83" s="12">
        <f t="shared" si="34"/>
        <v>278511482.69999993</v>
      </c>
      <c r="T83" s="14">
        <f t="shared" si="34"/>
        <v>168713747.83000001</v>
      </c>
      <c r="U83" s="17">
        <f>+S83/R83</f>
        <v>0.62275440580563868</v>
      </c>
    </row>
    <row r="84" spans="2:21" ht="24.95" customHeight="1">
      <c r="B84" s="18"/>
      <c r="C84" s="20" t="s">
        <v>78</v>
      </c>
      <c r="D84" s="20"/>
      <c r="E84" s="10"/>
      <c r="F84" s="12"/>
      <c r="G84" s="12"/>
      <c r="H84" s="12">
        <f t="shared" ref="H84:H89" si="37">+F84-G84</f>
        <v>0</v>
      </c>
      <c r="I84" s="13"/>
      <c r="J84" s="12"/>
      <c r="K84" s="12"/>
      <c r="L84" s="12">
        <f t="shared" ref="L84:L89" si="38">+J84-K84</f>
        <v>0</v>
      </c>
      <c r="M84" s="12"/>
      <c r="N84" s="12"/>
      <c r="O84" s="12"/>
      <c r="P84" s="12">
        <f t="shared" ref="P84:P89" si="39">+N84-O84</f>
        <v>0</v>
      </c>
      <c r="Q84" s="13"/>
      <c r="R84" s="12"/>
      <c r="S84" s="12"/>
      <c r="T84" s="14"/>
      <c r="U84" s="17"/>
    </row>
    <row r="85" spans="2:21" ht="24.95" customHeight="1">
      <c r="B85" s="18"/>
      <c r="C85" s="20"/>
      <c r="D85" s="20"/>
      <c r="E85" s="10" t="s">
        <v>79</v>
      </c>
      <c r="F85" s="42">
        <v>64736000</v>
      </c>
      <c r="G85" s="12">
        <v>29622884.699999996</v>
      </c>
      <c r="H85" s="12">
        <f t="shared" si="37"/>
        <v>35113115.300000004</v>
      </c>
      <c r="I85" s="13"/>
      <c r="J85" s="42"/>
      <c r="K85" s="12"/>
      <c r="L85" s="12">
        <f t="shared" si="38"/>
        <v>0</v>
      </c>
      <c r="M85" s="12"/>
      <c r="N85" s="42"/>
      <c r="O85" s="12">
        <v>11634915.559999999</v>
      </c>
      <c r="P85" s="12">
        <f t="shared" si="39"/>
        <v>-11634915.559999999</v>
      </c>
      <c r="Q85" s="13"/>
      <c r="R85" s="12">
        <f t="shared" ref="R85:S89" si="40">+F85+J85+N85</f>
        <v>64736000</v>
      </c>
      <c r="S85" s="12">
        <f t="shared" si="40"/>
        <v>41257800.25999999</v>
      </c>
      <c r="T85" s="14">
        <f>+R85-S85</f>
        <v>23478199.74000001</v>
      </c>
      <c r="U85" s="17">
        <f t="shared" si="30"/>
        <v>0.63732390416460682</v>
      </c>
    </row>
    <row r="86" spans="2:21" ht="27" customHeight="1">
      <c r="B86" s="18"/>
      <c r="C86" s="10"/>
      <c r="D86" s="10"/>
      <c r="E86" s="22" t="s">
        <v>80</v>
      </c>
      <c r="F86" s="12">
        <v>34657000</v>
      </c>
      <c r="G86" s="12">
        <v>32532709.550000001</v>
      </c>
      <c r="H86" s="12">
        <f t="shared" si="37"/>
        <v>2124290.4499999993</v>
      </c>
      <c r="I86" s="13"/>
      <c r="J86" s="12"/>
      <c r="K86" s="12"/>
      <c r="L86" s="12">
        <f t="shared" si="38"/>
        <v>0</v>
      </c>
      <c r="M86" s="12"/>
      <c r="N86" s="12">
        <v>1864587.02</v>
      </c>
      <c r="O86" s="12">
        <v>1864587.02</v>
      </c>
      <c r="P86" s="12">
        <f t="shared" si="39"/>
        <v>0</v>
      </c>
      <c r="Q86" s="13"/>
      <c r="R86" s="12">
        <f t="shared" si="40"/>
        <v>36521587.020000003</v>
      </c>
      <c r="S86" s="12">
        <f t="shared" si="40"/>
        <v>34397296.57</v>
      </c>
      <c r="T86" s="14">
        <f>+R86-S86</f>
        <v>2124290.450000003</v>
      </c>
      <c r="U86" s="17">
        <f t="shared" si="30"/>
        <v>0.94183466209076028</v>
      </c>
    </row>
    <row r="87" spans="2:21" ht="27" customHeight="1">
      <c r="B87" s="18"/>
      <c r="C87" s="10"/>
      <c r="D87" s="10"/>
      <c r="E87" s="22" t="s">
        <v>81</v>
      </c>
      <c r="F87" s="12">
        <v>44560000</v>
      </c>
      <c r="G87" s="12">
        <v>23025326.77</v>
      </c>
      <c r="H87" s="12">
        <f t="shared" si="37"/>
        <v>21534673.23</v>
      </c>
      <c r="I87" s="13"/>
      <c r="J87" s="12"/>
      <c r="K87" s="12"/>
      <c r="L87" s="12">
        <f t="shared" si="38"/>
        <v>0</v>
      </c>
      <c r="M87" s="12"/>
      <c r="N87" s="12">
        <v>1300041.51</v>
      </c>
      <c r="O87" s="12">
        <v>1234636.1000000001</v>
      </c>
      <c r="P87" s="12">
        <f t="shared" si="39"/>
        <v>65405.409999999916</v>
      </c>
      <c r="Q87" s="13"/>
      <c r="R87" s="12">
        <f t="shared" si="40"/>
        <v>45860041.509999998</v>
      </c>
      <c r="S87" s="12">
        <f t="shared" si="40"/>
        <v>24259962.870000001</v>
      </c>
      <c r="T87" s="14">
        <f>+R87-S87</f>
        <v>21600078.639999997</v>
      </c>
      <c r="U87" s="17">
        <f t="shared" si="30"/>
        <v>0.52900001986936718</v>
      </c>
    </row>
    <row r="88" spans="2:21" ht="27" customHeight="1">
      <c r="B88" s="18"/>
      <c r="C88" s="10"/>
      <c r="D88" s="10"/>
      <c r="E88" s="22" t="s">
        <v>82</v>
      </c>
      <c r="F88" s="12">
        <v>5820362</v>
      </c>
      <c r="G88" s="12">
        <v>868026.87999999989</v>
      </c>
      <c r="H88" s="12">
        <f t="shared" si="37"/>
        <v>4952335.12</v>
      </c>
      <c r="I88" s="13"/>
      <c r="J88" s="12"/>
      <c r="K88" s="12"/>
      <c r="L88" s="12">
        <f t="shared" si="38"/>
        <v>0</v>
      </c>
      <c r="M88" s="12"/>
      <c r="N88" s="12"/>
      <c r="O88" s="12"/>
      <c r="P88" s="12">
        <f t="shared" si="39"/>
        <v>0</v>
      </c>
      <c r="Q88" s="13"/>
      <c r="R88" s="12">
        <f t="shared" si="40"/>
        <v>5820362</v>
      </c>
      <c r="S88" s="12">
        <f t="shared" si="40"/>
        <v>868026.87999999989</v>
      </c>
      <c r="T88" s="14">
        <f>+R88-S88</f>
        <v>4952335.12</v>
      </c>
      <c r="U88" s="17">
        <f t="shared" si="30"/>
        <v>0.14913623585612026</v>
      </c>
    </row>
    <row r="89" spans="2:21" ht="27" customHeight="1">
      <c r="B89" s="18"/>
      <c r="C89" s="10"/>
      <c r="D89" s="10"/>
      <c r="E89" s="22" t="s">
        <v>83</v>
      </c>
      <c r="F89" s="12">
        <v>6659862</v>
      </c>
      <c r="G89" s="12">
        <v>2250120.15</v>
      </c>
      <c r="H89" s="12">
        <f t="shared" si="37"/>
        <v>4409741.8499999996</v>
      </c>
      <c r="I89" s="13"/>
      <c r="J89" s="12"/>
      <c r="K89" s="12"/>
      <c r="L89" s="12">
        <f t="shared" si="38"/>
        <v>0</v>
      </c>
      <c r="M89" s="12"/>
      <c r="N89" s="12"/>
      <c r="O89" s="12"/>
      <c r="P89" s="12">
        <f t="shared" si="39"/>
        <v>0</v>
      </c>
      <c r="Q89" s="13"/>
      <c r="R89" s="12">
        <f t="shared" si="40"/>
        <v>6659862</v>
      </c>
      <c r="S89" s="12">
        <f t="shared" si="40"/>
        <v>2250120.15</v>
      </c>
      <c r="T89" s="14">
        <f>+R89-S89</f>
        <v>4409741.8499999996</v>
      </c>
      <c r="U89" s="17">
        <f t="shared" si="30"/>
        <v>0.33786287914073893</v>
      </c>
    </row>
    <row r="90" spans="2:21" ht="24.95" customHeight="1">
      <c r="B90" s="18"/>
      <c r="C90" s="10"/>
      <c r="D90" s="10"/>
      <c r="E90" s="22"/>
      <c r="F90" s="12"/>
      <c r="G90" s="12"/>
      <c r="H90" s="12"/>
      <c r="I90" s="13"/>
      <c r="J90" s="12"/>
      <c r="K90" s="12"/>
      <c r="L90" s="12"/>
      <c r="M90" s="12"/>
      <c r="N90" s="12"/>
      <c r="O90" s="12"/>
      <c r="P90" s="12"/>
      <c r="Q90" s="13"/>
      <c r="R90" s="12"/>
      <c r="S90" s="12"/>
      <c r="T90" s="14"/>
      <c r="U90" s="17"/>
    </row>
    <row r="91" spans="2:21" ht="24.95" customHeight="1">
      <c r="B91" s="18"/>
      <c r="C91" s="20" t="s">
        <v>84</v>
      </c>
      <c r="D91" s="20"/>
      <c r="E91" s="10"/>
      <c r="F91" s="12"/>
      <c r="G91" s="12"/>
      <c r="H91" s="12"/>
      <c r="I91" s="13"/>
      <c r="J91" s="12"/>
      <c r="K91" s="12"/>
      <c r="L91" s="12"/>
      <c r="M91" s="12"/>
      <c r="N91" s="12"/>
      <c r="O91" s="12"/>
      <c r="P91" s="12"/>
      <c r="Q91" s="13"/>
      <c r="R91" s="12"/>
      <c r="S91" s="12"/>
      <c r="T91" s="14"/>
      <c r="U91" s="17"/>
    </row>
    <row r="92" spans="2:21" ht="24.95" customHeight="1">
      <c r="B92" s="18"/>
      <c r="C92" s="20"/>
      <c r="D92" s="20"/>
      <c r="E92" s="10" t="s">
        <v>85</v>
      </c>
      <c r="F92" s="12">
        <v>15094000</v>
      </c>
      <c r="G92" s="12">
        <v>9746754.8300000001</v>
      </c>
      <c r="H92" s="12">
        <f t="shared" ref="H92:H98" si="41">+F92-G92</f>
        <v>5347245.17</v>
      </c>
      <c r="I92" s="13"/>
      <c r="J92" s="12">
        <v>30000000</v>
      </c>
      <c r="K92" s="12">
        <v>30000000</v>
      </c>
      <c r="L92" s="12">
        <f t="shared" ref="L92:L98" si="42">+J92-K92</f>
        <v>0</v>
      </c>
      <c r="M92" s="12"/>
      <c r="N92" s="12"/>
      <c r="O92" s="12"/>
      <c r="P92" s="12">
        <f t="shared" ref="P92:P98" si="43">+N92-O92</f>
        <v>0</v>
      </c>
      <c r="Q92" s="13"/>
      <c r="R92" s="12">
        <f t="shared" ref="R92:S97" si="44">+F92+J92+N92</f>
        <v>45094000</v>
      </c>
      <c r="S92" s="12">
        <f t="shared" si="44"/>
        <v>39746754.829999998</v>
      </c>
      <c r="T92" s="14">
        <f t="shared" ref="T92:T98" si="45">+R92-S92</f>
        <v>5347245.1700000018</v>
      </c>
      <c r="U92" s="17">
        <f t="shared" si="30"/>
        <v>0.88142002993746393</v>
      </c>
    </row>
    <row r="93" spans="2:21" ht="28.5" customHeight="1">
      <c r="B93" s="18"/>
      <c r="C93" s="10"/>
      <c r="D93" s="10"/>
      <c r="E93" s="22" t="s">
        <v>86</v>
      </c>
      <c r="F93" s="12">
        <v>44898000</v>
      </c>
      <c r="G93" s="12">
        <v>38546665.909999996</v>
      </c>
      <c r="H93" s="12">
        <f t="shared" si="41"/>
        <v>6351334.0900000036</v>
      </c>
      <c r="I93" s="13"/>
      <c r="J93" s="12"/>
      <c r="K93" s="12"/>
      <c r="L93" s="12">
        <f t="shared" si="42"/>
        <v>0</v>
      </c>
      <c r="M93" s="12"/>
      <c r="N93" s="12"/>
      <c r="O93" s="12"/>
      <c r="P93" s="12">
        <f t="shared" si="43"/>
        <v>0</v>
      </c>
      <c r="Q93" s="13"/>
      <c r="R93" s="12">
        <f t="shared" si="44"/>
        <v>44898000</v>
      </c>
      <c r="S93" s="12">
        <f t="shared" si="44"/>
        <v>38546665.909999996</v>
      </c>
      <c r="T93" s="14">
        <f t="shared" si="45"/>
        <v>6351334.0900000036</v>
      </c>
      <c r="U93" s="17">
        <f t="shared" si="30"/>
        <v>0.85853859659673026</v>
      </c>
    </row>
    <row r="94" spans="2:21" ht="28.5" customHeight="1">
      <c r="B94" s="18"/>
      <c r="C94" s="10"/>
      <c r="D94" s="10"/>
      <c r="E94" s="22" t="s">
        <v>87</v>
      </c>
      <c r="F94" s="12">
        <v>16169000</v>
      </c>
      <c r="G94" s="12">
        <v>16169536.630000001</v>
      </c>
      <c r="H94" s="12">
        <f t="shared" si="41"/>
        <v>-536.63000000081956</v>
      </c>
      <c r="I94" s="13"/>
      <c r="J94" s="12"/>
      <c r="K94" s="12"/>
      <c r="L94" s="12">
        <f t="shared" si="42"/>
        <v>0</v>
      </c>
      <c r="M94" s="12"/>
      <c r="N94" s="12"/>
      <c r="O94" s="12"/>
      <c r="P94" s="12">
        <f t="shared" si="43"/>
        <v>0</v>
      </c>
      <c r="Q94" s="13"/>
      <c r="R94" s="12">
        <f t="shared" si="44"/>
        <v>16169000</v>
      </c>
      <c r="S94" s="12">
        <f t="shared" si="44"/>
        <v>16169536.630000001</v>
      </c>
      <c r="T94" s="14">
        <f t="shared" si="45"/>
        <v>-536.63000000081956</v>
      </c>
      <c r="U94" s="17">
        <f t="shared" si="30"/>
        <v>1.0000331888181089</v>
      </c>
    </row>
    <row r="95" spans="2:21" ht="28.5" customHeight="1">
      <c r="B95" s="18"/>
      <c r="C95" s="10"/>
      <c r="D95" s="10"/>
      <c r="E95" s="22" t="s">
        <v>88</v>
      </c>
      <c r="F95" s="12">
        <v>2471000</v>
      </c>
      <c r="G95" s="12">
        <v>2044045.51</v>
      </c>
      <c r="H95" s="12">
        <f t="shared" si="41"/>
        <v>426954.49</v>
      </c>
      <c r="I95" s="13"/>
      <c r="J95" s="12"/>
      <c r="K95" s="12"/>
      <c r="L95" s="12">
        <f t="shared" si="42"/>
        <v>0</v>
      </c>
      <c r="M95" s="12"/>
      <c r="N95" s="12"/>
      <c r="O95" s="12"/>
      <c r="P95" s="12">
        <f t="shared" si="43"/>
        <v>0</v>
      </c>
      <c r="Q95" s="13"/>
      <c r="R95" s="12">
        <f t="shared" si="44"/>
        <v>2471000</v>
      </c>
      <c r="S95" s="12">
        <f t="shared" si="44"/>
        <v>2044045.51</v>
      </c>
      <c r="T95" s="14">
        <f t="shared" si="45"/>
        <v>426954.49</v>
      </c>
      <c r="U95" s="17">
        <f t="shared" si="30"/>
        <v>0.82721388506677462</v>
      </c>
    </row>
    <row r="96" spans="2:21" ht="24.95" customHeight="1">
      <c r="B96" s="18"/>
      <c r="C96" s="10"/>
      <c r="D96" s="10"/>
      <c r="E96" s="22" t="s">
        <v>89</v>
      </c>
      <c r="F96" s="12">
        <v>2945000</v>
      </c>
      <c r="G96" s="12">
        <v>2945000</v>
      </c>
      <c r="H96" s="12">
        <f t="shared" si="41"/>
        <v>0</v>
      </c>
      <c r="I96" s="13"/>
      <c r="J96" s="12">
        <v>9500000</v>
      </c>
      <c r="K96" s="12">
        <v>5522358.0599999996</v>
      </c>
      <c r="L96" s="12">
        <f t="shared" si="42"/>
        <v>3977641.9400000004</v>
      </c>
      <c r="M96" s="12"/>
      <c r="N96" s="12"/>
      <c r="O96" s="12"/>
      <c r="P96" s="12">
        <f t="shared" si="43"/>
        <v>0</v>
      </c>
      <c r="Q96" s="13"/>
      <c r="R96" s="12">
        <f t="shared" si="44"/>
        <v>12445000</v>
      </c>
      <c r="S96" s="12">
        <f t="shared" si="44"/>
        <v>8467358.0599999987</v>
      </c>
      <c r="T96" s="14">
        <f t="shared" si="45"/>
        <v>3977641.9400000013</v>
      </c>
      <c r="U96" s="17">
        <f t="shared" si="30"/>
        <v>0.68038232703897139</v>
      </c>
    </row>
    <row r="97" spans="2:25" ht="24.95" customHeight="1">
      <c r="B97" s="18"/>
      <c r="C97" s="10"/>
      <c r="D97" s="10"/>
      <c r="E97" s="28" t="s">
        <v>90</v>
      </c>
      <c r="F97" s="12">
        <v>1571000</v>
      </c>
      <c r="G97" s="12">
        <v>1571000</v>
      </c>
      <c r="H97" s="12">
        <f t="shared" si="41"/>
        <v>0</v>
      </c>
      <c r="I97" s="13"/>
      <c r="J97" s="12"/>
      <c r="K97" s="12"/>
      <c r="L97" s="12">
        <f t="shared" si="42"/>
        <v>0</v>
      </c>
      <c r="M97" s="12"/>
      <c r="N97" s="12"/>
      <c r="O97" s="12"/>
      <c r="P97" s="12">
        <f t="shared" si="43"/>
        <v>0</v>
      </c>
      <c r="Q97" s="13"/>
      <c r="R97" s="12">
        <f t="shared" si="44"/>
        <v>1571000</v>
      </c>
      <c r="S97" s="12">
        <f t="shared" si="44"/>
        <v>1571000</v>
      </c>
      <c r="T97" s="14">
        <f t="shared" si="45"/>
        <v>0</v>
      </c>
      <c r="U97" s="17">
        <f t="shared" si="30"/>
        <v>1</v>
      </c>
    </row>
    <row r="98" spans="2:25" ht="28.5" customHeight="1">
      <c r="B98" s="18"/>
      <c r="C98" s="10"/>
      <c r="D98" s="10"/>
      <c r="E98" s="43" t="s">
        <v>91</v>
      </c>
      <c r="F98" s="12">
        <v>2273000</v>
      </c>
      <c r="G98" s="12">
        <v>4579525.97</v>
      </c>
      <c r="H98" s="12">
        <f t="shared" si="41"/>
        <v>-2306525.9699999997</v>
      </c>
      <c r="I98" s="13"/>
      <c r="J98" s="12"/>
      <c r="K98" s="12"/>
      <c r="L98" s="12">
        <f t="shared" si="42"/>
        <v>0</v>
      </c>
      <c r="M98" s="12"/>
      <c r="N98" s="12"/>
      <c r="O98" s="12"/>
      <c r="P98" s="12">
        <f t="shared" si="43"/>
        <v>0</v>
      </c>
      <c r="Q98" s="13"/>
      <c r="R98" s="12">
        <f>+F98+J98+N98</f>
        <v>2273000</v>
      </c>
      <c r="S98" s="12">
        <f>+G98+K98+O98</f>
        <v>4579525.97</v>
      </c>
      <c r="T98" s="14">
        <f t="shared" si="45"/>
        <v>-2306525.9699999997</v>
      </c>
      <c r="U98" s="17">
        <f t="shared" si="30"/>
        <v>2.0147496568411789</v>
      </c>
    </row>
    <row r="99" spans="2:25" ht="24.95" customHeight="1">
      <c r="B99" s="18"/>
      <c r="C99" s="10"/>
      <c r="D99" s="10"/>
      <c r="E99" s="43"/>
      <c r="F99" s="12"/>
      <c r="G99" s="12"/>
      <c r="H99" s="12"/>
      <c r="I99" s="13"/>
      <c r="J99" s="12"/>
      <c r="K99" s="12"/>
      <c r="L99" s="12"/>
      <c r="M99" s="12"/>
      <c r="N99" s="12"/>
      <c r="O99" s="12"/>
      <c r="P99" s="12"/>
      <c r="Q99" s="13"/>
      <c r="R99" s="12"/>
      <c r="S99" s="12"/>
      <c r="T99" s="14"/>
      <c r="U99" s="17"/>
    </row>
    <row r="100" spans="2:25" ht="24.95" customHeight="1">
      <c r="B100" s="18"/>
      <c r="C100" s="20" t="s">
        <v>92</v>
      </c>
      <c r="D100" s="20"/>
      <c r="E100" s="10"/>
      <c r="F100" s="12"/>
      <c r="G100" s="12"/>
      <c r="H100" s="12"/>
      <c r="I100" s="13"/>
      <c r="J100" s="12"/>
      <c r="K100" s="12"/>
      <c r="L100" s="12"/>
      <c r="M100" s="12"/>
      <c r="N100" s="12"/>
      <c r="O100" s="12"/>
      <c r="P100" s="12"/>
      <c r="Q100" s="13"/>
      <c r="R100" s="12"/>
      <c r="S100" s="12"/>
      <c r="T100" s="14"/>
      <c r="U100" s="17"/>
    </row>
    <row r="101" spans="2:25" ht="24.95" customHeight="1">
      <c r="B101" s="18"/>
      <c r="C101" s="20"/>
      <c r="D101" s="20"/>
      <c r="E101" s="10" t="s">
        <v>93</v>
      </c>
      <c r="F101" s="12">
        <v>11860000</v>
      </c>
      <c r="G101" s="12">
        <v>11860000</v>
      </c>
      <c r="H101" s="12">
        <f>+F101-G101</f>
        <v>0</v>
      </c>
      <c r="I101" s="13"/>
      <c r="J101" s="12">
        <v>105000000</v>
      </c>
      <c r="K101" s="12">
        <v>16749745.01</v>
      </c>
      <c r="L101" s="12">
        <f>+J101-K101</f>
        <v>88250254.989999995</v>
      </c>
      <c r="M101" s="12"/>
      <c r="N101" s="12">
        <v>3624068</v>
      </c>
      <c r="O101" s="12">
        <v>274333.63</v>
      </c>
      <c r="P101" s="12">
        <f>+N101-O101</f>
        <v>3349734.37</v>
      </c>
      <c r="Q101" s="13"/>
      <c r="R101" s="12">
        <f t="shared" ref="R101:S103" si="46">+F101+J101+N101</f>
        <v>120484068</v>
      </c>
      <c r="S101" s="12">
        <f t="shared" si="46"/>
        <v>28884078.639999997</v>
      </c>
      <c r="T101" s="14">
        <f>+R101-S101</f>
        <v>91599989.359999999</v>
      </c>
      <c r="U101" s="17">
        <f t="shared" si="30"/>
        <v>0.23973359398854294</v>
      </c>
    </row>
    <row r="102" spans="2:25" ht="29.25" customHeight="1">
      <c r="B102" s="18"/>
      <c r="C102" s="10"/>
      <c r="D102" s="10"/>
      <c r="E102" s="22" t="s">
        <v>94</v>
      </c>
      <c r="F102" s="12">
        <v>18239000</v>
      </c>
      <c r="G102" s="12">
        <v>33603199.409999996</v>
      </c>
      <c r="H102" s="12">
        <f>+F102-G102</f>
        <v>-15364199.409999996</v>
      </c>
      <c r="I102" s="13"/>
      <c r="J102" s="12">
        <v>22346310</v>
      </c>
      <c r="K102" s="12">
        <v>229306.62</v>
      </c>
      <c r="L102" s="12">
        <f>+J102-K102</f>
        <v>22117003.379999999</v>
      </c>
      <c r="M102" s="12"/>
      <c r="N102" s="12"/>
      <c r="O102" s="12"/>
      <c r="P102" s="12">
        <f>+N102-O102</f>
        <v>0</v>
      </c>
      <c r="Q102" s="13"/>
      <c r="R102" s="12">
        <f t="shared" si="46"/>
        <v>40585310</v>
      </c>
      <c r="S102" s="12">
        <f t="shared" si="46"/>
        <v>33832506.029999994</v>
      </c>
      <c r="T102" s="14">
        <f>+R102-S102</f>
        <v>6752803.9700000063</v>
      </c>
      <c r="U102" s="17">
        <f t="shared" si="30"/>
        <v>0.83361457704770503</v>
      </c>
    </row>
    <row r="103" spans="2:25" ht="29.25" customHeight="1">
      <c r="B103" s="18"/>
      <c r="C103" s="10"/>
      <c r="D103" s="10"/>
      <c r="E103" s="22" t="s">
        <v>95</v>
      </c>
      <c r="F103" s="12">
        <v>1637000</v>
      </c>
      <c r="G103" s="12">
        <v>1636804.39</v>
      </c>
      <c r="H103" s="12">
        <f>+F103-G103</f>
        <v>195.61000000010245</v>
      </c>
      <c r="I103" s="13"/>
      <c r="J103" s="12"/>
      <c r="K103" s="12"/>
      <c r="L103" s="12">
        <f>+J103-K103</f>
        <v>0</v>
      </c>
      <c r="M103" s="12"/>
      <c r="N103" s="12"/>
      <c r="O103" s="12"/>
      <c r="P103" s="12">
        <f>+N103-O103</f>
        <v>0</v>
      </c>
      <c r="Q103" s="13"/>
      <c r="R103" s="12">
        <f t="shared" si="46"/>
        <v>1637000</v>
      </c>
      <c r="S103" s="12">
        <f t="shared" si="46"/>
        <v>1636804.39</v>
      </c>
      <c r="T103" s="14">
        <f>+R103-S103</f>
        <v>195.61000000010245</v>
      </c>
      <c r="U103" s="17">
        <f t="shared" si="30"/>
        <v>0.99988050702504572</v>
      </c>
    </row>
    <row r="104" spans="2:25" ht="27.75" customHeight="1">
      <c r="B104" s="18"/>
      <c r="C104" s="10"/>
      <c r="D104" s="10"/>
      <c r="E104" s="31" t="s">
        <v>51</v>
      </c>
      <c r="F104" s="32">
        <f>SUM(F85:F103)</f>
        <v>273590224</v>
      </c>
      <c r="G104" s="32">
        <f t="shared" ref="G104:S104" si="47">SUM(G85:G103)</f>
        <v>211001600.69999996</v>
      </c>
      <c r="H104" s="32">
        <f t="shared" si="47"/>
        <v>62588623.300000012</v>
      </c>
      <c r="I104" s="32">
        <f t="shared" si="47"/>
        <v>0</v>
      </c>
      <c r="J104" s="32">
        <f>SUM(J85:J103)</f>
        <v>166846310</v>
      </c>
      <c r="K104" s="32">
        <f t="shared" ref="K104" si="48">SUM(K85:K103)</f>
        <v>52501409.689999998</v>
      </c>
      <c r="L104" s="32">
        <f>SUM(L85:L103)</f>
        <v>114344900.30999999</v>
      </c>
      <c r="M104" s="32">
        <f t="shared" si="47"/>
        <v>0</v>
      </c>
      <c r="N104" s="32">
        <f>SUM(N85:N103)</f>
        <v>6788696.5300000003</v>
      </c>
      <c r="O104" s="32">
        <f t="shared" ref="O104" si="49">SUM(O85:O103)</f>
        <v>15008472.309999999</v>
      </c>
      <c r="P104" s="32">
        <f>SUM(P85:P103)</f>
        <v>-8219775.7799999984</v>
      </c>
      <c r="Q104" s="32">
        <f t="shared" si="47"/>
        <v>0</v>
      </c>
      <c r="R104" s="32">
        <f t="shared" si="47"/>
        <v>447225230.52999997</v>
      </c>
      <c r="S104" s="32">
        <f t="shared" si="47"/>
        <v>278511482.69999993</v>
      </c>
      <c r="T104" s="34">
        <f>SUM(T85:T103)</f>
        <v>168713747.83000001</v>
      </c>
      <c r="U104" s="17">
        <f t="shared" si="30"/>
        <v>0.62275440580563868</v>
      </c>
    </row>
    <row r="105" spans="2:25" ht="24.95" customHeight="1">
      <c r="B105" s="18"/>
      <c r="C105" s="10"/>
      <c r="D105" s="10"/>
      <c r="E105" s="22"/>
      <c r="F105" s="12"/>
      <c r="G105" s="12"/>
      <c r="H105" s="12"/>
      <c r="I105" s="13"/>
      <c r="J105" s="12"/>
      <c r="K105" s="12"/>
      <c r="L105" s="12"/>
      <c r="M105" s="12"/>
      <c r="N105" s="12"/>
      <c r="O105" s="12"/>
      <c r="P105" s="12"/>
      <c r="Q105" s="13"/>
      <c r="R105" s="12"/>
      <c r="S105" s="12"/>
      <c r="T105" s="14"/>
      <c r="U105" s="17"/>
      <c r="Y105" s="2" t="s">
        <v>96</v>
      </c>
    </row>
    <row r="106" spans="2:25" ht="24.95" customHeight="1">
      <c r="B106" s="18"/>
      <c r="C106" s="24" t="s">
        <v>97</v>
      </c>
      <c r="D106" s="10"/>
      <c r="E106" s="22"/>
      <c r="F106" s="12">
        <f>SUM(F108:F136)</f>
        <v>399934802.61999995</v>
      </c>
      <c r="G106" s="12">
        <f>SUM(G108:G136)</f>
        <v>289254994.69999999</v>
      </c>
      <c r="H106" s="12">
        <f t="shared" ref="H106:T106" si="50">SUM(H108:H136)</f>
        <v>110679807.91999999</v>
      </c>
      <c r="I106" s="12">
        <f t="shared" si="50"/>
        <v>0</v>
      </c>
      <c r="J106" s="12">
        <f>SUM(J108:J136)</f>
        <v>34141330</v>
      </c>
      <c r="K106" s="12">
        <f>SUM(K108:K136)</f>
        <v>16978996.469999999</v>
      </c>
      <c r="L106" s="12">
        <f>SUM(L108:L136)</f>
        <v>17162333.530000001</v>
      </c>
      <c r="M106" s="12">
        <f t="shared" si="50"/>
        <v>0</v>
      </c>
      <c r="N106" s="12">
        <f>SUM(N108:N136)</f>
        <v>29307553.489999998</v>
      </c>
      <c r="O106" s="12">
        <f>SUM(O108:O136)</f>
        <v>24345892.98</v>
      </c>
      <c r="P106" s="12">
        <f>SUM(P108:P136)</f>
        <v>4961660.5100000007</v>
      </c>
      <c r="Q106" s="12">
        <f t="shared" si="50"/>
        <v>0</v>
      </c>
      <c r="R106" s="12">
        <f t="shared" si="50"/>
        <v>463383686.11000001</v>
      </c>
      <c r="S106" s="12">
        <f t="shared" si="50"/>
        <v>330579884.15000004</v>
      </c>
      <c r="T106" s="14">
        <f t="shared" si="50"/>
        <v>132803801.95999998</v>
      </c>
      <c r="U106" s="17">
        <f>+S106/R106</f>
        <v>0.71340423510620865</v>
      </c>
    </row>
    <row r="107" spans="2:25" ht="24.95" customHeight="1">
      <c r="B107" s="18"/>
      <c r="C107" s="20" t="s">
        <v>98</v>
      </c>
      <c r="D107" s="20"/>
      <c r="E107" s="10"/>
      <c r="F107" s="12"/>
      <c r="G107" s="12"/>
      <c r="H107" s="12">
        <f t="shared" ref="H107:H115" si="51">+F107-G107</f>
        <v>0</v>
      </c>
      <c r="I107" s="13"/>
      <c r="J107" s="12"/>
      <c r="K107" s="12"/>
      <c r="L107" s="12">
        <f t="shared" ref="L107:L115" si="52">+J107-K107</f>
        <v>0</v>
      </c>
      <c r="M107" s="12"/>
      <c r="N107" s="12"/>
      <c r="O107" s="12"/>
      <c r="P107" s="12">
        <f t="shared" ref="P107:P115" si="53">+N107-O107</f>
        <v>0</v>
      </c>
      <c r="Q107" s="13"/>
      <c r="R107" s="12"/>
      <c r="S107" s="12"/>
      <c r="T107" s="14"/>
      <c r="U107" s="17"/>
    </row>
    <row r="108" spans="2:25" ht="24.95" customHeight="1">
      <c r="B108" s="18"/>
      <c r="C108" s="20"/>
      <c r="D108" s="20"/>
      <c r="E108" s="10" t="s">
        <v>99</v>
      </c>
      <c r="F108" s="12">
        <v>18094000</v>
      </c>
      <c r="G108" s="12">
        <v>27351290.719999999</v>
      </c>
      <c r="H108" s="12">
        <f t="shared" si="51"/>
        <v>-9257290.7199999988</v>
      </c>
      <c r="I108" s="13"/>
      <c r="J108" s="12"/>
      <c r="K108" s="12"/>
      <c r="L108" s="12">
        <f t="shared" si="52"/>
        <v>0</v>
      </c>
      <c r="M108" s="12"/>
      <c r="N108" s="12">
        <v>2150601</v>
      </c>
      <c r="O108" s="12">
        <v>9019683.0800000001</v>
      </c>
      <c r="P108" s="12">
        <f t="shared" si="53"/>
        <v>-6869082.0800000001</v>
      </c>
      <c r="Q108" s="13"/>
      <c r="R108" s="12">
        <f t="shared" ref="R108:S115" si="54">+F108+J108+N108</f>
        <v>20244601</v>
      </c>
      <c r="S108" s="12">
        <f t="shared" si="54"/>
        <v>36370973.799999997</v>
      </c>
      <c r="T108" s="14">
        <f t="shared" ref="T108:T115" si="55">+R108-S108</f>
        <v>-16126372.799999997</v>
      </c>
      <c r="U108" s="17">
        <f t="shared" si="30"/>
        <v>1.7965764699437641</v>
      </c>
    </row>
    <row r="109" spans="2:25" ht="27" customHeight="1">
      <c r="B109" s="18"/>
      <c r="C109" s="10"/>
      <c r="D109" s="10"/>
      <c r="E109" s="22" t="s">
        <v>100</v>
      </c>
      <c r="F109" s="12">
        <v>19000000</v>
      </c>
      <c r="G109" s="12">
        <v>18667167.620000001</v>
      </c>
      <c r="H109" s="12">
        <f t="shared" si="51"/>
        <v>332832.37999999896</v>
      </c>
      <c r="I109" s="13"/>
      <c r="J109" s="12"/>
      <c r="K109" s="12"/>
      <c r="L109" s="12">
        <f t="shared" si="52"/>
        <v>0</v>
      </c>
      <c r="M109" s="12"/>
      <c r="N109" s="12"/>
      <c r="O109" s="12"/>
      <c r="P109" s="12">
        <f t="shared" si="53"/>
        <v>0</v>
      </c>
      <c r="Q109" s="13"/>
      <c r="R109" s="12">
        <f t="shared" si="54"/>
        <v>19000000</v>
      </c>
      <c r="S109" s="12">
        <f t="shared" si="54"/>
        <v>18667167.620000001</v>
      </c>
      <c r="T109" s="14">
        <f t="shared" si="55"/>
        <v>332832.37999999896</v>
      </c>
      <c r="U109" s="17">
        <f t="shared" si="30"/>
        <v>0.98248250631578948</v>
      </c>
    </row>
    <row r="110" spans="2:25" ht="27" customHeight="1">
      <c r="B110" s="18"/>
      <c r="C110" s="10"/>
      <c r="D110" s="10"/>
      <c r="E110" s="22" t="s">
        <v>101</v>
      </c>
      <c r="F110" s="12">
        <v>3194000</v>
      </c>
      <c r="G110" s="12">
        <v>2397726.0299999998</v>
      </c>
      <c r="H110" s="12">
        <f t="shared" si="51"/>
        <v>796273.9700000002</v>
      </c>
      <c r="I110" s="13"/>
      <c r="J110" s="12"/>
      <c r="K110" s="12"/>
      <c r="L110" s="12">
        <f t="shared" si="52"/>
        <v>0</v>
      </c>
      <c r="M110" s="12"/>
      <c r="N110" s="12"/>
      <c r="O110" s="12"/>
      <c r="P110" s="12">
        <f t="shared" si="53"/>
        <v>0</v>
      </c>
      <c r="Q110" s="13"/>
      <c r="R110" s="12">
        <f t="shared" si="54"/>
        <v>3194000</v>
      </c>
      <c r="S110" s="12">
        <f t="shared" si="54"/>
        <v>2397726.0299999998</v>
      </c>
      <c r="T110" s="14">
        <f t="shared" si="55"/>
        <v>796273.9700000002</v>
      </c>
      <c r="U110" s="17">
        <f t="shared" si="30"/>
        <v>0.75069694113963681</v>
      </c>
    </row>
    <row r="111" spans="2:25" ht="29.25" customHeight="1">
      <c r="B111" s="18"/>
      <c r="C111" s="10"/>
      <c r="D111" s="10"/>
      <c r="E111" s="22" t="s">
        <v>102</v>
      </c>
      <c r="F111" s="12">
        <v>1960000</v>
      </c>
      <c r="G111" s="12">
        <v>1440032.91</v>
      </c>
      <c r="H111" s="12">
        <f t="shared" si="51"/>
        <v>519967.09000000008</v>
      </c>
      <c r="I111" s="13"/>
      <c r="J111" s="12"/>
      <c r="K111" s="12"/>
      <c r="L111" s="12">
        <f t="shared" si="52"/>
        <v>0</v>
      </c>
      <c r="M111" s="12"/>
      <c r="N111" s="12"/>
      <c r="O111" s="12"/>
      <c r="P111" s="12">
        <f t="shared" si="53"/>
        <v>0</v>
      </c>
      <c r="Q111" s="13"/>
      <c r="R111" s="12">
        <f t="shared" si="54"/>
        <v>1960000</v>
      </c>
      <c r="S111" s="12">
        <f t="shared" si="54"/>
        <v>1440032.91</v>
      </c>
      <c r="T111" s="14">
        <f t="shared" si="55"/>
        <v>519967.09000000008</v>
      </c>
      <c r="U111" s="17">
        <f t="shared" si="30"/>
        <v>0.73471066836734689</v>
      </c>
    </row>
    <row r="112" spans="2:25" ht="24.95" customHeight="1">
      <c r="B112" s="18"/>
      <c r="C112" s="10"/>
      <c r="D112" s="10"/>
      <c r="E112" s="28" t="s">
        <v>103</v>
      </c>
      <c r="F112" s="12">
        <v>1283393.03</v>
      </c>
      <c r="G112" s="12">
        <v>1557151.1</v>
      </c>
      <c r="H112" s="12">
        <f t="shared" si="51"/>
        <v>-273758.07000000007</v>
      </c>
      <c r="I112" s="13"/>
      <c r="J112" s="12"/>
      <c r="K112" s="12"/>
      <c r="L112" s="12">
        <f t="shared" si="52"/>
        <v>0</v>
      </c>
      <c r="M112" s="12"/>
      <c r="N112" s="12"/>
      <c r="O112" s="12"/>
      <c r="P112" s="12">
        <f t="shared" si="53"/>
        <v>0</v>
      </c>
      <c r="Q112" s="13"/>
      <c r="R112" s="12">
        <f t="shared" si="54"/>
        <v>1283393.03</v>
      </c>
      <c r="S112" s="12">
        <f t="shared" si="54"/>
        <v>1557151.1</v>
      </c>
      <c r="T112" s="14">
        <f t="shared" si="55"/>
        <v>-273758.07000000007</v>
      </c>
      <c r="U112" s="17">
        <f t="shared" si="30"/>
        <v>1.2133080541975516</v>
      </c>
    </row>
    <row r="113" spans="2:22" ht="24.95" customHeight="1">
      <c r="B113" s="18"/>
      <c r="C113" s="10"/>
      <c r="D113" s="10"/>
      <c r="E113" s="22" t="s">
        <v>104</v>
      </c>
      <c r="F113" s="12">
        <v>3200000</v>
      </c>
      <c r="G113" s="12">
        <v>2276691.8199999998</v>
      </c>
      <c r="H113" s="12">
        <f t="shared" si="51"/>
        <v>923308.18000000017</v>
      </c>
      <c r="I113" s="13"/>
      <c r="J113" s="12"/>
      <c r="K113" s="12"/>
      <c r="L113" s="12">
        <f t="shared" si="52"/>
        <v>0</v>
      </c>
      <c r="M113" s="12"/>
      <c r="N113" s="12"/>
      <c r="O113" s="12"/>
      <c r="P113" s="12">
        <f t="shared" si="53"/>
        <v>0</v>
      </c>
      <c r="Q113" s="13"/>
      <c r="R113" s="12">
        <f t="shared" si="54"/>
        <v>3200000</v>
      </c>
      <c r="S113" s="12">
        <f t="shared" si="54"/>
        <v>2276691.8199999998</v>
      </c>
      <c r="T113" s="14">
        <f t="shared" si="55"/>
        <v>923308.18000000017</v>
      </c>
      <c r="U113" s="17">
        <f t="shared" si="30"/>
        <v>0.71146619374999998</v>
      </c>
    </row>
    <row r="114" spans="2:22" ht="29.25" customHeight="1">
      <c r="B114" s="18"/>
      <c r="C114" s="10"/>
      <c r="D114" s="10"/>
      <c r="E114" s="22" t="s">
        <v>105</v>
      </c>
      <c r="F114" s="12">
        <v>9300000</v>
      </c>
      <c r="G114" s="12">
        <v>6179112.2699999996</v>
      </c>
      <c r="H114" s="12">
        <f t="shared" si="51"/>
        <v>3120887.7300000004</v>
      </c>
      <c r="I114" s="13"/>
      <c r="J114" s="12"/>
      <c r="K114" s="12"/>
      <c r="L114" s="12">
        <f t="shared" si="52"/>
        <v>0</v>
      </c>
      <c r="M114" s="12"/>
      <c r="N114" s="12"/>
      <c r="O114" s="12"/>
      <c r="P114" s="12">
        <f t="shared" si="53"/>
        <v>0</v>
      </c>
      <c r="Q114" s="13"/>
      <c r="R114" s="12">
        <f t="shared" si="54"/>
        <v>9300000</v>
      </c>
      <c r="S114" s="12">
        <f t="shared" si="54"/>
        <v>6179112.2699999996</v>
      </c>
      <c r="T114" s="14">
        <f t="shared" si="55"/>
        <v>3120887.7300000004</v>
      </c>
      <c r="U114" s="17">
        <f t="shared" si="30"/>
        <v>0.66442067419354833</v>
      </c>
    </row>
    <row r="115" spans="2:22" ht="29.25" customHeight="1">
      <c r="B115" s="18"/>
      <c r="C115" s="10"/>
      <c r="D115" s="10"/>
      <c r="E115" s="21" t="s">
        <v>106</v>
      </c>
      <c r="F115" s="12">
        <v>9684999.9999999981</v>
      </c>
      <c r="G115" s="12">
        <v>6183816.2400000002</v>
      </c>
      <c r="H115" s="12">
        <f t="shared" si="51"/>
        <v>3501183.7599999979</v>
      </c>
      <c r="I115" s="13"/>
      <c r="J115" s="12"/>
      <c r="K115" s="12"/>
      <c r="L115" s="12">
        <f t="shared" si="52"/>
        <v>0</v>
      </c>
      <c r="M115" s="12"/>
      <c r="N115" s="12"/>
      <c r="O115" s="12"/>
      <c r="P115" s="12">
        <f t="shared" si="53"/>
        <v>0</v>
      </c>
      <c r="Q115" s="13"/>
      <c r="R115" s="12">
        <f t="shared" si="54"/>
        <v>9684999.9999999981</v>
      </c>
      <c r="S115" s="12">
        <f t="shared" si="54"/>
        <v>6183816.2400000002</v>
      </c>
      <c r="T115" s="14">
        <f t="shared" si="55"/>
        <v>3501183.7599999979</v>
      </c>
      <c r="U115" s="17">
        <f t="shared" si="30"/>
        <v>0.63849419101703675</v>
      </c>
    </row>
    <row r="116" spans="2:22" ht="24.95" customHeight="1">
      <c r="B116" s="18"/>
      <c r="C116" s="10"/>
      <c r="D116" s="10"/>
      <c r="E116" s="28"/>
      <c r="F116" s="12"/>
      <c r="G116" s="12"/>
      <c r="H116" s="12"/>
      <c r="I116" s="13"/>
      <c r="J116" s="12"/>
      <c r="K116" s="12"/>
      <c r="L116" s="12"/>
      <c r="M116" s="12"/>
      <c r="N116" s="12"/>
      <c r="O116" s="12"/>
      <c r="P116" s="12"/>
      <c r="Q116" s="13"/>
      <c r="R116" s="12"/>
      <c r="S116" s="12"/>
      <c r="T116" s="14"/>
      <c r="U116" s="17"/>
    </row>
    <row r="117" spans="2:22" ht="24.95" customHeight="1">
      <c r="B117" s="18"/>
      <c r="C117" s="20" t="s">
        <v>107</v>
      </c>
      <c r="D117" s="20"/>
      <c r="E117" s="10"/>
      <c r="F117" s="12"/>
      <c r="G117" s="12"/>
      <c r="H117" s="12"/>
      <c r="I117" s="13"/>
      <c r="J117" s="12"/>
      <c r="K117" s="12"/>
      <c r="L117" s="12"/>
      <c r="M117" s="12"/>
      <c r="N117" s="12"/>
      <c r="O117" s="12"/>
      <c r="P117" s="12"/>
      <c r="Q117" s="13"/>
      <c r="R117" s="12"/>
      <c r="S117" s="12"/>
      <c r="T117" s="14"/>
      <c r="U117" s="17"/>
    </row>
    <row r="118" spans="2:22" ht="24.95" customHeight="1">
      <c r="B118" s="18"/>
      <c r="C118" s="20"/>
      <c r="D118" s="20"/>
      <c r="E118" s="10" t="s">
        <v>108</v>
      </c>
      <c r="F118" s="12">
        <v>61094000</v>
      </c>
      <c r="G118" s="12">
        <v>22599063.870000001</v>
      </c>
      <c r="H118" s="12">
        <f>+F118-G118</f>
        <v>38494936.129999995</v>
      </c>
      <c r="I118" s="13"/>
      <c r="J118" s="12">
        <v>0</v>
      </c>
      <c r="K118" s="12">
        <v>0</v>
      </c>
      <c r="L118" s="12">
        <f>+J118-K118</f>
        <v>0</v>
      </c>
      <c r="M118" s="12"/>
      <c r="N118" s="12">
        <v>0</v>
      </c>
      <c r="O118" s="12">
        <v>0</v>
      </c>
      <c r="P118" s="12">
        <f>+N118-O118</f>
        <v>0</v>
      </c>
      <c r="Q118" s="13"/>
      <c r="R118" s="12">
        <f t="shared" ref="R118:S121" si="56">+F118+J118+N118</f>
        <v>61094000</v>
      </c>
      <c r="S118" s="12">
        <f t="shared" si="56"/>
        <v>22599063.870000001</v>
      </c>
      <c r="T118" s="14">
        <f>+R118-S118</f>
        <v>38494936.129999995</v>
      </c>
      <c r="U118" s="17">
        <f t="shared" si="30"/>
        <v>0.36990643712966903</v>
      </c>
    </row>
    <row r="119" spans="2:22" ht="28.5" customHeight="1">
      <c r="B119" s="18"/>
      <c r="C119" s="10"/>
      <c r="D119" s="10"/>
      <c r="E119" s="21" t="s">
        <v>109</v>
      </c>
      <c r="F119" s="12">
        <v>20847000</v>
      </c>
      <c r="G119" s="12">
        <v>38048936.049999997</v>
      </c>
      <c r="H119" s="12">
        <f>+F119-G119</f>
        <v>-17201936.049999997</v>
      </c>
      <c r="I119" s="13"/>
      <c r="J119" s="12">
        <v>0</v>
      </c>
      <c r="K119" s="12">
        <v>0</v>
      </c>
      <c r="L119" s="12">
        <f>+J119-K119</f>
        <v>0</v>
      </c>
      <c r="M119" s="12"/>
      <c r="N119" s="12">
        <v>758751.08</v>
      </c>
      <c r="O119" s="12">
        <v>758749.59</v>
      </c>
      <c r="P119" s="12">
        <f>+N119-O119</f>
        <v>1.4899999999906868</v>
      </c>
      <c r="Q119" s="13"/>
      <c r="R119" s="12">
        <f t="shared" si="56"/>
        <v>21605751.079999998</v>
      </c>
      <c r="S119" s="12">
        <f t="shared" si="56"/>
        <v>38807685.640000001</v>
      </c>
      <c r="T119" s="14">
        <f>+R119-S119</f>
        <v>-17201934.560000002</v>
      </c>
      <c r="U119" s="17">
        <f t="shared" si="30"/>
        <v>1.7961738750162441</v>
      </c>
    </row>
    <row r="120" spans="2:22" ht="28.5" customHeight="1">
      <c r="B120" s="18"/>
      <c r="C120" s="10"/>
      <c r="D120" s="10"/>
      <c r="E120" s="21" t="s">
        <v>110</v>
      </c>
      <c r="F120" s="12">
        <v>10682000</v>
      </c>
      <c r="G120" s="12">
        <v>9676048.25</v>
      </c>
      <c r="H120" s="12">
        <f>+F120-G120</f>
        <v>1005951.75</v>
      </c>
      <c r="I120" s="13"/>
      <c r="J120" s="12">
        <v>0</v>
      </c>
      <c r="K120" s="12">
        <v>0</v>
      </c>
      <c r="L120" s="12">
        <f>+J120-K120</f>
        <v>0</v>
      </c>
      <c r="M120" s="12"/>
      <c r="N120" s="12">
        <v>0</v>
      </c>
      <c r="O120" s="12">
        <v>0</v>
      </c>
      <c r="P120" s="12">
        <f>+N120-O120</f>
        <v>0</v>
      </c>
      <c r="Q120" s="13"/>
      <c r="R120" s="12">
        <f t="shared" si="56"/>
        <v>10682000</v>
      </c>
      <c r="S120" s="12">
        <f t="shared" si="56"/>
        <v>9676048.25</v>
      </c>
      <c r="T120" s="14">
        <f>+R120-S120</f>
        <v>1005951.75</v>
      </c>
      <c r="U120" s="17">
        <f t="shared" si="30"/>
        <v>0.90582739655495226</v>
      </c>
    </row>
    <row r="121" spans="2:22" ht="28.5" customHeight="1">
      <c r="B121" s="18"/>
      <c r="C121" s="10"/>
      <c r="D121" s="10"/>
      <c r="E121" s="22" t="s">
        <v>111</v>
      </c>
      <c r="F121" s="12">
        <v>13742000</v>
      </c>
      <c r="G121" s="12">
        <v>7376828.04</v>
      </c>
      <c r="H121" s="12">
        <f>+F121-G121</f>
        <v>6365171.96</v>
      </c>
      <c r="I121" s="13"/>
      <c r="J121" s="12">
        <v>2000000</v>
      </c>
      <c r="K121" s="12">
        <v>0</v>
      </c>
      <c r="L121" s="12">
        <f>+J121-K121</f>
        <v>2000000</v>
      </c>
      <c r="M121" s="12"/>
      <c r="N121" s="12">
        <v>0</v>
      </c>
      <c r="O121" s="12">
        <v>0</v>
      </c>
      <c r="P121" s="12">
        <f>+N121-O121</f>
        <v>0</v>
      </c>
      <c r="Q121" s="13"/>
      <c r="R121" s="12">
        <f t="shared" si="56"/>
        <v>15742000</v>
      </c>
      <c r="S121" s="12">
        <f t="shared" si="56"/>
        <v>7376828.04</v>
      </c>
      <c r="T121" s="14">
        <f>+R121-S121</f>
        <v>8365171.96</v>
      </c>
      <c r="U121" s="17">
        <f t="shared" si="30"/>
        <v>0.46860805742599415</v>
      </c>
    </row>
    <row r="122" spans="2:22" ht="24.95" customHeight="1">
      <c r="B122" s="18"/>
      <c r="C122" s="10"/>
      <c r="D122" s="10"/>
      <c r="E122" s="22"/>
      <c r="F122" s="12"/>
      <c r="G122" s="12"/>
      <c r="H122" s="12"/>
      <c r="I122" s="13"/>
      <c r="J122" s="12"/>
      <c r="K122" s="12"/>
      <c r="L122" s="12"/>
      <c r="M122" s="12"/>
      <c r="N122" s="12"/>
      <c r="O122" s="12"/>
      <c r="P122" s="12"/>
      <c r="Q122" s="13"/>
      <c r="R122" s="12"/>
      <c r="S122" s="12"/>
      <c r="T122" s="14"/>
      <c r="U122" s="17"/>
    </row>
    <row r="123" spans="2:22" ht="24.95" customHeight="1">
      <c r="B123" s="18"/>
      <c r="C123" s="20" t="s">
        <v>112</v>
      </c>
      <c r="D123" s="20"/>
      <c r="E123" s="10"/>
      <c r="F123" s="12"/>
      <c r="G123" s="12"/>
      <c r="H123" s="12"/>
      <c r="I123" s="13"/>
      <c r="J123" s="12"/>
      <c r="K123" s="12"/>
      <c r="L123" s="12"/>
      <c r="M123" s="12"/>
      <c r="N123" s="12"/>
      <c r="O123" s="12"/>
      <c r="P123" s="12"/>
      <c r="Q123" s="13"/>
      <c r="R123" s="12"/>
      <c r="S123" s="12"/>
      <c r="T123" s="14"/>
      <c r="U123" s="17"/>
    </row>
    <row r="124" spans="2:22" ht="24.95" customHeight="1">
      <c r="B124" s="18"/>
      <c r="C124" s="20"/>
      <c r="D124" s="20"/>
      <c r="E124" s="10" t="s">
        <v>113</v>
      </c>
      <c r="F124" s="12">
        <v>26630000</v>
      </c>
      <c r="G124" s="12">
        <v>36492982.360000007</v>
      </c>
      <c r="H124" s="12">
        <f>+F124-G124</f>
        <v>-9862982.3600000069</v>
      </c>
      <c r="I124" s="13"/>
      <c r="J124" s="12">
        <v>10000000</v>
      </c>
      <c r="K124" s="12">
        <v>5432266.9000000004</v>
      </c>
      <c r="L124" s="12">
        <f>+J124-K124</f>
        <v>4567733.0999999996</v>
      </c>
      <c r="M124" s="12"/>
      <c r="N124" s="12"/>
      <c r="O124" s="12"/>
      <c r="P124" s="12">
        <f>+N124-O124</f>
        <v>0</v>
      </c>
      <c r="Q124" s="13"/>
      <c r="R124" s="12">
        <f t="shared" ref="R124:S126" si="57">+F124+J124+N124</f>
        <v>36630000</v>
      </c>
      <c r="S124" s="12">
        <f t="shared" si="57"/>
        <v>41925249.260000005</v>
      </c>
      <c r="T124" s="14">
        <f>+R124-S124</f>
        <v>-5295249.2600000054</v>
      </c>
      <c r="U124" s="17">
        <f t="shared" si="30"/>
        <v>1.1445604493584496</v>
      </c>
      <c r="V124" s="2" t="s">
        <v>294</v>
      </c>
    </row>
    <row r="125" spans="2:22" ht="24.95" customHeight="1">
      <c r="B125" s="18"/>
      <c r="C125" s="10"/>
      <c r="D125" s="10"/>
      <c r="E125" s="22" t="s">
        <v>115</v>
      </c>
      <c r="F125" s="12">
        <v>75851000</v>
      </c>
      <c r="G125" s="12">
        <v>30764590.300000001</v>
      </c>
      <c r="H125" s="12">
        <f>+F125-G125</f>
        <v>45086409.700000003</v>
      </c>
      <c r="I125" s="13"/>
      <c r="J125" s="12"/>
      <c r="K125" s="12"/>
      <c r="L125" s="12">
        <f>+J125-K125</f>
        <v>0</v>
      </c>
      <c r="M125" s="12"/>
      <c r="N125" s="12">
        <v>0</v>
      </c>
      <c r="O125" s="12">
        <v>885677.95</v>
      </c>
      <c r="P125" s="12">
        <f>+N125-O125</f>
        <v>-885677.95</v>
      </c>
      <c r="Q125" s="13"/>
      <c r="R125" s="12">
        <f t="shared" si="57"/>
        <v>75851000</v>
      </c>
      <c r="S125" s="12">
        <f t="shared" si="57"/>
        <v>31650268.25</v>
      </c>
      <c r="T125" s="14">
        <f>+R125-S125</f>
        <v>44200731.75</v>
      </c>
      <c r="U125" s="17">
        <f t="shared" si="30"/>
        <v>0.41726896481259312</v>
      </c>
    </row>
    <row r="126" spans="2:22" ht="28.5" customHeight="1">
      <c r="B126" s="18"/>
      <c r="C126" s="10"/>
      <c r="D126" s="10"/>
      <c r="E126" s="22" t="s">
        <v>116</v>
      </c>
      <c r="F126" s="12">
        <v>31371130</v>
      </c>
      <c r="G126" s="12">
        <v>22097444.379999999</v>
      </c>
      <c r="H126" s="12">
        <f>+F126-G126</f>
        <v>9273685.620000001</v>
      </c>
      <c r="I126" s="13"/>
      <c r="J126" s="12"/>
      <c r="K126" s="12"/>
      <c r="L126" s="12">
        <f>+J126-K126</f>
        <v>0</v>
      </c>
      <c r="M126" s="12"/>
      <c r="N126" s="12"/>
      <c r="O126" s="12"/>
      <c r="P126" s="12">
        <f>+N126-O126</f>
        <v>0</v>
      </c>
      <c r="Q126" s="13"/>
      <c r="R126" s="12">
        <f t="shared" si="57"/>
        <v>31371130</v>
      </c>
      <c r="S126" s="12">
        <f t="shared" si="57"/>
        <v>22097444.379999999</v>
      </c>
      <c r="T126" s="14">
        <f>+R126-S126</f>
        <v>9273685.620000001</v>
      </c>
      <c r="U126" s="17">
        <f t="shared" si="30"/>
        <v>0.7043878999576999</v>
      </c>
    </row>
    <row r="127" spans="2:22" ht="24.95" customHeight="1">
      <c r="B127" s="18"/>
      <c r="C127" s="10"/>
      <c r="D127" s="10"/>
      <c r="E127" s="22"/>
      <c r="F127" s="12"/>
      <c r="G127" s="12"/>
      <c r="H127" s="12"/>
      <c r="I127" s="13"/>
      <c r="J127" s="12"/>
      <c r="K127" s="12"/>
      <c r="L127" s="12"/>
      <c r="M127" s="12"/>
      <c r="N127" s="12"/>
      <c r="O127" s="12"/>
      <c r="P127" s="12"/>
      <c r="Q127" s="13"/>
      <c r="R127" s="12"/>
      <c r="S127" s="12"/>
      <c r="T127" s="14"/>
      <c r="U127" s="17"/>
    </row>
    <row r="128" spans="2:22" ht="24.95" customHeight="1">
      <c r="B128" s="18"/>
      <c r="C128" s="20" t="s">
        <v>117</v>
      </c>
      <c r="D128" s="20"/>
      <c r="E128" s="10"/>
      <c r="F128" s="12"/>
      <c r="G128" s="12"/>
      <c r="H128" s="12"/>
      <c r="I128" s="13"/>
      <c r="J128" s="12"/>
      <c r="K128" s="12"/>
      <c r="L128" s="12"/>
      <c r="M128" s="12"/>
      <c r="N128" s="12"/>
      <c r="O128" s="12"/>
      <c r="P128" s="12"/>
      <c r="Q128" s="13"/>
      <c r="R128" s="12"/>
      <c r="S128" s="12"/>
      <c r="T128" s="14"/>
      <c r="U128" s="17"/>
    </row>
    <row r="129" spans="2:21" ht="24.95" customHeight="1">
      <c r="B129" s="18"/>
      <c r="C129" s="20"/>
      <c r="D129" s="20"/>
      <c r="E129" s="10" t="s">
        <v>118</v>
      </c>
      <c r="F129" s="12">
        <v>14276253</v>
      </c>
      <c r="G129" s="12">
        <v>6607200.9199999999</v>
      </c>
      <c r="H129" s="12">
        <f>+F129-G129</f>
        <v>7669052.0800000001</v>
      </c>
      <c r="I129" s="13"/>
      <c r="J129" s="12"/>
      <c r="K129" s="12"/>
      <c r="L129" s="12">
        <f>+J129-K129</f>
        <v>0</v>
      </c>
      <c r="M129" s="12"/>
      <c r="N129" s="12">
        <v>15310770</v>
      </c>
      <c r="O129" s="12">
        <v>2594350.9500000002</v>
      </c>
      <c r="P129" s="12">
        <f>+N129-O129</f>
        <v>12716419.050000001</v>
      </c>
      <c r="Q129" s="13"/>
      <c r="R129" s="12">
        <f t="shared" ref="R129:S131" si="58">+F129+J129+N129</f>
        <v>29587023</v>
      </c>
      <c r="S129" s="12">
        <f t="shared" si="58"/>
        <v>9201551.870000001</v>
      </c>
      <c r="T129" s="14">
        <f>+R129-S129</f>
        <v>20385471.129999999</v>
      </c>
      <c r="U129" s="17">
        <f t="shared" si="30"/>
        <v>0.31099958485177781</v>
      </c>
    </row>
    <row r="130" spans="2:21" ht="27.75" customHeight="1">
      <c r="B130" s="18"/>
      <c r="C130" s="10"/>
      <c r="D130" s="10"/>
      <c r="E130" s="22" t="s">
        <v>119</v>
      </c>
      <c r="F130" s="12">
        <v>22967025</v>
      </c>
      <c r="G130" s="12">
        <v>17584046.760000002</v>
      </c>
      <c r="H130" s="12">
        <f>+F130-G130</f>
        <v>5382978.2399999984</v>
      </c>
      <c r="I130" s="13"/>
      <c r="J130" s="12"/>
      <c r="K130" s="12"/>
      <c r="L130" s="12">
        <f>+J130-K130</f>
        <v>0</v>
      </c>
      <c r="M130" s="12"/>
      <c r="N130" s="12"/>
      <c r="O130" s="12"/>
      <c r="P130" s="12">
        <f>+N130-O130</f>
        <v>0</v>
      </c>
      <c r="Q130" s="13"/>
      <c r="R130" s="12">
        <f t="shared" si="58"/>
        <v>22967025</v>
      </c>
      <c r="S130" s="12">
        <f t="shared" si="58"/>
        <v>17584046.760000002</v>
      </c>
      <c r="T130" s="14">
        <f>+R130-S130</f>
        <v>5382978.2399999984</v>
      </c>
      <c r="U130" s="17">
        <f t="shared" si="30"/>
        <v>0.76562144030408819</v>
      </c>
    </row>
    <row r="131" spans="2:21" ht="24.95" customHeight="1">
      <c r="B131" s="18"/>
      <c r="C131" s="10"/>
      <c r="D131" s="10"/>
      <c r="E131" s="28" t="s">
        <v>120</v>
      </c>
      <c r="F131" s="12">
        <v>3854000</v>
      </c>
      <c r="G131" s="12">
        <v>1556157.14</v>
      </c>
      <c r="H131" s="12">
        <f>+F131-G131</f>
        <v>2297842.8600000003</v>
      </c>
      <c r="I131" s="13"/>
      <c r="J131" s="12">
        <v>1350000</v>
      </c>
      <c r="K131" s="12"/>
      <c r="L131" s="12">
        <f>+J131-K131</f>
        <v>1350000</v>
      </c>
      <c r="M131" s="12"/>
      <c r="N131" s="12"/>
      <c r="O131" s="12"/>
      <c r="P131" s="12">
        <f>+N131-O131</f>
        <v>0</v>
      </c>
      <c r="Q131" s="13"/>
      <c r="R131" s="12">
        <f t="shared" si="58"/>
        <v>5204000</v>
      </c>
      <c r="S131" s="12">
        <f t="shared" si="58"/>
        <v>1556157.14</v>
      </c>
      <c r="T131" s="14">
        <f>+R131-S131</f>
        <v>3647842.8600000003</v>
      </c>
      <c r="U131" s="17">
        <f t="shared" si="30"/>
        <v>0.29903096464258261</v>
      </c>
    </row>
    <row r="132" spans="2:21" ht="24.95" customHeight="1">
      <c r="B132" s="18"/>
      <c r="C132" s="10"/>
      <c r="D132" s="10"/>
      <c r="E132" s="28"/>
      <c r="F132" s="12"/>
      <c r="G132" s="12"/>
      <c r="H132" s="12"/>
      <c r="I132" s="13"/>
      <c r="J132" s="12"/>
      <c r="K132" s="12"/>
      <c r="L132" s="12"/>
      <c r="M132" s="12"/>
      <c r="N132" s="12"/>
      <c r="O132" s="12"/>
      <c r="P132" s="12"/>
      <c r="Q132" s="13"/>
      <c r="R132" s="12"/>
      <c r="S132" s="12"/>
      <c r="T132" s="14"/>
      <c r="U132" s="17"/>
    </row>
    <row r="133" spans="2:21" ht="24.95" customHeight="1">
      <c r="B133" s="18"/>
      <c r="C133" s="20" t="s">
        <v>121</v>
      </c>
      <c r="D133" s="20"/>
      <c r="E133" s="10"/>
      <c r="F133" s="12"/>
      <c r="G133" s="12"/>
      <c r="H133" s="12"/>
      <c r="I133" s="13"/>
      <c r="J133" s="12"/>
      <c r="K133" s="12"/>
      <c r="L133" s="12"/>
      <c r="M133" s="12"/>
      <c r="N133" s="12"/>
      <c r="O133" s="12"/>
      <c r="P133" s="12"/>
      <c r="Q133" s="13"/>
      <c r="R133" s="12"/>
      <c r="S133" s="12"/>
      <c r="T133" s="14"/>
      <c r="U133" s="17"/>
    </row>
    <row r="134" spans="2:21" ht="24.95" customHeight="1">
      <c r="B134" s="18"/>
      <c r="C134" s="20"/>
      <c r="D134" s="20"/>
      <c r="E134" s="10" t="s">
        <v>122</v>
      </c>
      <c r="F134" s="12">
        <v>12309568.59</v>
      </c>
      <c r="G134" s="12">
        <v>13034756.609999999</v>
      </c>
      <c r="H134" s="12">
        <f>+F134-G134</f>
        <v>-725188.01999999955</v>
      </c>
      <c r="I134" s="13"/>
      <c r="J134" s="12">
        <v>20791330</v>
      </c>
      <c r="K134" s="12">
        <v>11546729.57</v>
      </c>
      <c r="L134" s="12">
        <f>+J134-K134</f>
        <v>9244600.4299999997</v>
      </c>
      <c r="M134" s="12"/>
      <c r="N134" s="12">
        <v>11087431.41</v>
      </c>
      <c r="O134" s="12">
        <v>11087431.41</v>
      </c>
      <c r="P134" s="12">
        <f>+N134-O134</f>
        <v>0</v>
      </c>
      <c r="Q134" s="13"/>
      <c r="R134" s="12">
        <f t="shared" ref="R134:S136" si="59">+F134+J134+N134</f>
        <v>44188330</v>
      </c>
      <c r="S134" s="12">
        <f t="shared" si="59"/>
        <v>35668917.590000004</v>
      </c>
      <c r="T134" s="14">
        <f>+R134-S134</f>
        <v>8519412.4099999964</v>
      </c>
      <c r="U134" s="17">
        <f t="shared" si="30"/>
        <v>0.80720220904478635</v>
      </c>
    </row>
    <row r="135" spans="2:21" ht="27.75" customHeight="1">
      <c r="B135" s="18"/>
      <c r="C135" s="10"/>
      <c r="D135" s="10"/>
      <c r="E135" s="22" t="s">
        <v>123</v>
      </c>
      <c r="F135" s="12">
        <v>22614433</v>
      </c>
      <c r="G135" s="12">
        <v>13273371.210000001</v>
      </c>
      <c r="H135" s="12">
        <f>+F135-G135</f>
        <v>9341061.7899999991</v>
      </c>
      <c r="I135" s="13"/>
      <c r="J135" s="12"/>
      <c r="K135" s="12"/>
      <c r="L135" s="12">
        <f>+J135-K135</f>
        <v>0</v>
      </c>
      <c r="M135" s="12"/>
      <c r="N135" s="12"/>
      <c r="O135" s="12"/>
      <c r="P135" s="12">
        <f>+N135-O135</f>
        <v>0</v>
      </c>
      <c r="Q135" s="13"/>
      <c r="R135" s="12">
        <f t="shared" si="59"/>
        <v>22614433</v>
      </c>
      <c r="S135" s="12">
        <f t="shared" si="59"/>
        <v>13273371.210000001</v>
      </c>
      <c r="T135" s="14">
        <f>+R135-S135</f>
        <v>9341061.7899999991</v>
      </c>
      <c r="U135" s="17">
        <f t="shared" si="30"/>
        <v>0.58694247209293293</v>
      </c>
    </row>
    <row r="136" spans="2:21" ht="27.75" customHeight="1">
      <c r="B136" s="18"/>
      <c r="C136" s="10"/>
      <c r="D136" s="10"/>
      <c r="E136" s="22" t="s">
        <v>124</v>
      </c>
      <c r="F136" s="12">
        <v>17980000</v>
      </c>
      <c r="G136" s="12">
        <v>4090580.1</v>
      </c>
      <c r="H136" s="12">
        <f>+F136-G136</f>
        <v>13889419.9</v>
      </c>
      <c r="I136" s="13"/>
      <c r="J136" s="12"/>
      <c r="K136" s="12"/>
      <c r="L136" s="12">
        <f>+J136-K136</f>
        <v>0</v>
      </c>
      <c r="M136" s="12"/>
      <c r="N136" s="12"/>
      <c r="O136" s="12"/>
      <c r="P136" s="12">
        <f>+N136-O136</f>
        <v>0</v>
      </c>
      <c r="Q136" s="13"/>
      <c r="R136" s="12">
        <f t="shared" si="59"/>
        <v>17980000</v>
      </c>
      <c r="S136" s="12">
        <f t="shared" si="59"/>
        <v>4090580.1</v>
      </c>
      <c r="T136" s="14">
        <f>+R136-S136</f>
        <v>13889419.9</v>
      </c>
      <c r="U136" s="17">
        <f t="shared" si="30"/>
        <v>0.22750723581757509</v>
      </c>
    </row>
    <row r="137" spans="2:21" ht="27.75" customHeight="1">
      <c r="B137" s="18"/>
      <c r="C137" s="10"/>
      <c r="D137" s="10"/>
      <c r="E137" s="31" t="s">
        <v>51</v>
      </c>
      <c r="F137" s="32">
        <f>SUM(F108:F136)</f>
        <v>399934802.61999995</v>
      </c>
      <c r="G137" s="32">
        <f t="shared" ref="G137:S137" si="60">SUM(G108:G136)</f>
        <v>289254994.69999999</v>
      </c>
      <c r="H137" s="32">
        <f t="shared" si="60"/>
        <v>110679807.91999999</v>
      </c>
      <c r="I137" s="32">
        <f t="shared" si="60"/>
        <v>0</v>
      </c>
      <c r="J137" s="32">
        <f>SUM(J108:J136)</f>
        <v>34141330</v>
      </c>
      <c r="K137" s="32">
        <f t="shared" ref="K137" si="61">SUM(K108:K136)</f>
        <v>16978996.469999999</v>
      </c>
      <c r="L137" s="32">
        <f>SUM(L108:L136)</f>
        <v>17162333.530000001</v>
      </c>
      <c r="M137" s="32">
        <f t="shared" si="60"/>
        <v>0</v>
      </c>
      <c r="N137" s="32">
        <f>SUM(N108:N136)</f>
        <v>29307553.489999998</v>
      </c>
      <c r="O137" s="32">
        <f t="shared" ref="O137" si="62">SUM(O108:O136)</f>
        <v>24345892.98</v>
      </c>
      <c r="P137" s="32">
        <f>SUM(P108:P136)</f>
        <v>4961660.5100000007</v>
      </c>
      <c r="Q137" s="32">
        <f t="shared" si="60"/>
        <v>0</v>
      </c>
      <c r="R137" s="32">
        <f t="shared" si="60"/>
        <v>463383686.11000001</v>
      </c>
      <c r="S137" s="32">
        <f t="shared" si="60"/>
        <v>330579884.15000004</v>
      </c>
      <c r="T137" s="34">
        <f>SUM(T108:T136)</f>
        <v>132803801.95999998</v>
      </c>
      <c r="U137" s="17">
        <f t="shared" si="30"/>
        <v>0.71340423510620865</v>
      </c>
    </row>
    <row r="138" spans="2:21" ht="24.95" customHeight="1">
      <c r="B138" s="18"/>
      <c r="C138" s="10"/>
      <c r="D138" s="10"/>
      <c r="E138" s="22"/>
      <c r="F138" s="12"/>
      <c r="G138" s="12"/>
      <c r="H138" s="12"/>
      <c r="I138" s="13"/>
      <c r="J138" s="12"/>
      <c r="K138" s="12"/>
      <c r="L138" s="12"/>
      <c r="M138" s="12"/>
      <c r="N138" s="12"/>
      <c r="O138" s="12"/>
      <c r="P138" s="12"/>
      <c r="Q138" s="13"/>
      <c r="R138" s="12"/>
      <c r="S138" s="12"/>
      <c r="T138" s="14"/>
      <c r="U138" s="17"/>
    </row>
    <row r="139" spans="2:21" ht="27.75" customHeight="1">
      <c r="B139" s="18"/>
      <c r="C139" s="24" t="s">
        <v>147</v>
      </c>
      <c r="D139" s="10"/>
      <c r="E139" s="22"/>
      <c r="F139" s="32"/>
      <c r="G139" s="32"/>
      <c r="H139" s="32"/>
      <c r="I139" s="33"/>
      <c r="J139" s="32"/>
      <c r="K139" s="32"/>
      <c r="L139" s="32"/>
      <c r="M139" s="32"/>
      <c r="N139" s="32"/>
      <c r="O139" s="32"/>
      <c r="P139" s="32"/>
      <c r="Q139" s="33"/>
      <c r="R139" s="32"/>
      <c r="S139" s="32"/>
      <c r="T139" s="34"/>
      <c r="U139" s="17"/>
    </row>
    <row r="140" spans="2:21" ht="27.75" customHeight="1">
      <c r="B140" s="18"/>
      <c r="C140" s="10"/>
      <c r="D140" s="10"/>
      <c r="E140" s="10" t="s">
        <v>148</v>
      </c>
      <c r="F140" s="12">
        <v>37499000</v>
      </c>
      <c r="G140" s="12">
        <v>17905561.199999999</v>
      </c>
      <c r="H140" s="12">
        <f>+F140-G140</f>
        <v>19593438.800000001</v>
      </c>
      <c r="I140" s="13"/>
      <c r="J140" s="12"/>
      <c r="K140" s="12"/>
      <c r="L140" s="12">
        <f>+J140-K140</f>
        <v>0</v>
      </c>
      <c r="M140" s="12"/>
      <c r="N140" s="12"/>
      <c r="O140" s="12"/>
      <c r="P140" s="12">
        <f>+N140-O140</f>
        <v>0</v>
      </c>
      <c r="Q140" s="13"/>
      <c r="R140" s="12">
        <f t="shared" ref="R140:S141" si="63">+F140+J140+N140</f>
        <v>37499000</v>
      </c>
      <c r="S140" s="12">
        <f t="shared" si="63"/>
        <v>17905561.199999999</v>
      </c>
      <c r="T140" s="14">
        <f>+R140-S140</f>
        <v>19593438.800000001</v>
      </c>
      <c r="U140" s="17">
        <f t="shared" ref="U140:U141" si="64">+S140/R140</f>
        <v>0.47749436518307153</v>
      </c>
    </row>
    <row r="141" spans="2:21" ht="27.75" customHeight="1">
      <c r="B141" s="18"/>
      <c r="C141" s="10"/>
      <c r="D141" s="10"/>
      <c r="E141" s="10" t="s">
        <v>149</v>
      </c>
      <c r="F141" s="12">
        <v>24501000</v>
      </c>
      <c r="G141" s="12">
        <v>19439840.09</v>
      </c>
      <c r="H141" s="12">
        <f>+F141-G141</f>
        <v>5061159.91</v>
      </c>
      <c r="I141" s="13"/>
      <c r="J141" s="12"/>
      <c r="K141" s="12"/>
      <c r="L141" s="12">
        <f>+J141-K141</f>
        <v>0</v>
      </c>
      <c r="M141" s="12"/>
      <c r="N141" s="12"/>
      <c r="O141" s="12"/>
      <c r="P141" s="12">
        <f>+N141-O141</f>
        <v>0</v>
      </c>
      <c r="Q141" s="13"/>
      <c r="R141" s="12">
        <f t="shared" si="63"/>
        <v>24501000</v>
      </c>
      <c r="S141" s="12">
        <f t="shared" si="63"/>
        <v>19439840.09</v>
      </c>
      <c r="T141" s="14">
        <f>+R141-S141</f>
        <v>5061159.91</v>
      </c>
      <c r="U141" s="17">
        <f t="shared" si="64"/>
        <v>0.79343047589894289</v>
      </c>
    </row>
    <row r="142" spans="2:21" ht="24.95" customHeight="1">
      <c r="B142" s="18"/>
      <c r="C142" s="10"/>
      <c r="D142" s="10"/>
      <c r="E142" s="22"/>
      <c r="F142" s="12"/>
      <c r="G142" s="12"/>
      <c r="H142" s="12"/>
      <c r="I142" s="13"/>
      <c r="J142" s="12"/>
      <c r="K142" s="12"/>
      <c r="L142" s="12"/>
      <c r="M142" s="12"/>
      <c r="N142" s="12"/>
      <c r="O142" s="12"/>
      <c r="P142" s="12"/>
      <c r="Q142" s="13"/>
      <c r="R142" s="12"/>
      <c r="S142" s="12"/>
      <c r="T142" s="14"/>
      <c r="U142" s="17"/>
    </row>
    <row r="143" spans="2:21" s="48" customFormat="1" ht="15.75" thickBot="1">
      <c r="B143" s="44"/>
      <c r="C143" s="24"/>
      <c r="D143" s="24"/>
      <c r="E143" s="45" t="s">
        <v>125</v>
      </c>
      <c r="F143" s="46">
        <f>+F8+F51+F81+F104+F137+F49+F50+F140+F141</f>
        <v>5005766325.3499994</v>
      </c>
      <c r="G143" s="46">
        <f t="shared" ref="G143:H143" si="65">+G8+G51+G81+G104+G137+G49+G50+G140+G141</f>
        <v>2247188370.6599998</v>
      </c>
      <c r="H143" s="46">
        <f t="shared" si="65"/>
        <v>2758577954.6900001</v>
      </c>
      <c r="I143" s="46">
        <f t="shared" ref="I143:Q143" si="66">+I8+I51+I81+I104+I137+I49+I50</f>
        <v>2208000</v>
      </c>
      <c r="J143" s="46">
        <f>+J8+J51+J81+J104+J137+J49+J50+J140+J141</f>
        <v>274134294</v>
      </c>
      <c r="K143" s="46">
        <f t="shared" ref="K143:L143" si="67">+K8+K51+K81+K104+K137+K49+K50+K140+K141</f>
        <v>129865202.43000001</v>
      </c>
      <c r="L143" s="46">
        <f t="shared" si="67"/>
        <v>144269091.56999999</v>
      </c>
      <c r="M143" s="46">
        <f t="shared" si="66"/>
        <v>0</v>
      </c>
      <c r="N143" s="46">
        <f>+N8+N51+N81+N104+N137+N49+N50+N140+N141</f>
        <v>147626249.61000001</v>
      </c>
      <c r="O143" s="46">
        <f t="shared" ref="O143:P143" si="68">+O8+O51+O81+O104+O137+O49+O50+O140+O141</f>
        <v>72968201.379999995</v>
      </c>
      <c r="P143" s="46">
        <f t="shared" si="68"/>
        <v>74658048.230000004</v>
      </c>
      <c r="Q143" s="46">
        <f t="shared" si="66"/>
        <v>0</v>
      </c>
      <c r="R143" s="46">
        <f>+R8+R51+R81+R104+R137+R49+R50+R140+R141</f>
        <v>5427526868.9599991</v>
      </c>
      <c r="S143" s="46">
        <f t="shared" ref="S143:T143" si="69">+S8+S51+S81+S104+S137+S49+S50+S140+S141</f>
        <v>2450021774.4699998</v>
      </c>
      <c r="T143" s="46">
        <f t="shared" si="69"/>
        <v>2977505094.4900002</v>
      </c>
      <c r="U143" s="47">
        <f>+S143/R143</f>
        <v>0.45140665972225086</v>
      </c>
    </row>
    <row r="144" spans="2:21" ht="15.75" thickTop="1" thickBot="1">
      <c r="B144" s="49"/>
      <c r="C144" s="50"/>
      <c r="D144" s="50"/>
      <c r="E144" s="51"/>
      <c r="F144" s="52"/>
      <c r="G144" s="52"/>
      <c r="H144" s="52"/>
      <c r="I144" s="53"/>
      <c r="J144" s="54"/>
      <c r="K144" s="54"/>
      <c r="L144" s="54"/>
      <c r="M144" s="54"/>
      <c r="N144" s="54"/>
      <c r="O144" s="54"/>
      <c r="P144" s="54"/>
      <c r="Q144" s="53"/>
      <c r="R144" s="54"/>
      <c r="S144" s="54"/>
      <c r="T144" s="55"/>
      <c r="U144" s="56"/>
    </row>
    <row r="145" spans="6:20" ht="24.95" customHeight="1">
      <c r="F145" s="30">
        <f>+F143+J143</f>
        <v>5279900619.3499994</v>
      </c>
      <c r="G145" s="30">
        <f>+G143+K143</f>
        <v>2377053573.0899997</v>
      </c>
      <c r="H145" s="30">
        <f>+F145-G145</f>
        <v>2902847046.2599998</v>
      </c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6:20" ht="24.95" customHeight="1">
      <c r="F146" s="58" t="s">
        <v>126</v>
      </c>
      <c r="J146" s="58" t="s">
        <v>127</v>
      </c>
      <c r="K146" s="30"/>
      <c r="N146" s="58" t="s">
        <v>128</v>
      </c>
      <c r="R146" s="13"/>
      <c r="S146" s="13"/>
      <c r="T146" s="13"/>
    </row>
    <row r="147" spans="6:20" ht="24.95" customHeight="1">
      <c r="R147" s="13"/>
      <c r="S147" s="13"/>
      <c r="T147" s="13"/>
    </row>
    <row r="148" spans="6:20" ht="24.95" customHeight="1">
      <c r="F148" s="59" t="s">
        <v>129</v>
      </c>
      <c r="J148" s="59" t="s">
        <v>130</v>
      </c>
      <c r="N148" s="59" t="s">
        <v>131</v>
      </c>
      <c r="R148" s="30"/>
      <c r="S148" s="30"/>
      <c r="T148" s="30"/>
    </row>
    <row r="149" spans="6:20" ht="17.25" customHeight="1">
      <c r="F149" s="58" t="s">
        <v>132</v>
      </c>
      <c r="J149" s="58" t="s">
        <v>133</v>
      </c>
      <c r="N149" s="58" t="s">
        <v>134</v>
      </c>
    </row>
  </sheetData>
  <autoFilter ref="B7:U140">
    <filterColumn colId="1"/>
    <filterColumn colId="3"/>
    <filterColumn colId="4"/>
  </autoFilter>
  <mergeCells count="11">
    <mergeCell ref="U5:U6"/>
    <mergeCell ref="C11:E11"/>
    <mergeCell ref="B1:T1"/>
    <mergeCell ref="B2:T2"/>
    <mergeCell ref="B3:T3"/>
    <mergeCell ref="B4:T4"/>
    <mergeCell ref="B5:E6"/>
    <mergeCell ref="F5:H5"/>
    <mergeCell ref="J5:L5"/>
    <mergeCell ref="N5:P5"/>
    <mergeCell ref="R5:T5"/>
  </mergeCells>
  <pageMargins left="1.25" right="0" top="0.36" bottom="0.3" header="0.27" footer="0.17"/>
  <pageSetup paperSize="5" scale="55" orientation="landscape" horizontalDpi="0" verticalDpi="0" r:id="rId1"/>
  <headerFooter>
    <oddFooter>&amp;R&amp;"-,Italic"&amp;8Page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Y149"/>
  <sheetViews>
    <sheetView zoomScale="75" zoomScaleNormal="75" workbookViewId="0">
      <pane xSplit="5" ySplit="6" topLeftCell="F97" activePane="bottomRight" state="frozen"/>
      <selection pane="topRight" activeCell="F1" sqref="F1"/>
      <selection pane="bottomLeft" activeCell="A7" sqref="A7"/>
      <selection pane="bottomRight" activeCell="G102" sqref="G102"/>
    </sheetView>
  </sheetViews>
  <sheetFormatPr defaultRowHeight="24.95" customHeight="1"/>
  <cols>
    <col min="1" max="4" width="2.7109375" style="2" customWidth="1"/>
    <col min="5" max="5" width="50.5703125" style="57" customWidth="1"/>
    <col min="6" max="7" width="19.28515625" style="2" customWidth="1"/>
    <col min="8" max="8" width="18.5703125" style="2" customWidth="1"/>
    <col min="9" max="9" width="0.7109375" style="2" customWidth="1"/>
    <col min="10" max="10" width="24" style="2" bestFit="1" customWidth="1"/>
    <col min="11" max="11" width="18.7109375" style="2" bestFit="1" customWidth="1"/>
    <col min="12" max="12" width="19.42578125" style="2" bestFit="1" customWidth="1"/>
    <col min="13" max="13" width="0.5703125" style="2" customWidth="1"/>
    <col min="14" max="15" width="18.7109375" style="2" bestFit="1" customWidth="1"/>
    <col min="16" max="16" width="16.5703125" style="2" customWidth="1"/>
    <col min="17" max="17" width="0.7109375" style="2" customWidth="1"/>
    <col min="18" max="19" width="19.85546875" style="2" bestFit="1" customWidth="1"/>
    <col min="20" max="20" width="18.7109375" style="2" bestFit="1" customWidth="1"/>
    <col min="21" max="21" width="14.5703125" style="1" customWidth="1"/>
    <col min="22" max="22" width="9.140625" style="2"/>
    <col min="23" max="23" width="13.140625" style="2" bestFit="1" customWidth="1"/>
    <col min="24" max="256" width="9.140625" style="2"/>
    <col min="257" max="260" width="2.7109375" style="2" customWidth="1"/>
    <col min="261" max="261" width="50.5703125" style="2" customWidth="1"/>
    <col min="262" max="263" width="19.28515625" style="2" customWidth="1"/>
    <col min="264" max="264" width="18.5703125" style="2" customWidth="1"/>
    <col min="265" max="265" width="0.7109375" style="2" customWidth="1"/>
    <col min="266" max="266" width="24" style="2" bestFit="1" customWidth="1"/>
    <col min="267" max="267" width="18.7109375" style="2" bestFit="1" customWidth="1"/>
    <col min="268" max="268" width="19.42578125" style="2" bestFit="1" customWidth="1"/>
    <col min="269" max="269" width="0.5703125" style="2" customWidth="1"/>
    <col min="270" max="271" width="18.7109375" style="2" bestFit="1" customWidth="1"/>
    <col min="272" max="272" width="16.5703125" style="2" customWidth="1"/>
    <col min="273" max="273" width="0.7109375" style="2" customWidth="1"/>
    <col min="274" max="275" width="19.85546875" style="2" bestFit="1" customWidth="1"/>
    <col min="276" max="276" width="18.7109375" style="2" bestFit="1" customWidth="1"/>
    <col min="277" max="277" width="14.5703125" style="2" customWidth="1"/>
    <col min="278" max="278" width="9.140625" style="2"/>
    <col min="279" max="279" width="13.140625" style="2" bestFit="1" customWidth="1"/>
    <col min="280" max="512" width="9.140625" style="2"/>
    <col min="513" max="516" width="2.7109375" style="2" customWidth="1"/>
    <col min="517" max="517" width="50.5703125" style="2" customWidth="1"/>
    <col min="518" max="519" width="19.28515625" style="2" customWidth="1"/>
    <col min="520" max="520" width="18.5703125" style="2" customWidth="1"/>
    <col min="521" max="521" width="0.7109375" style="2" customWidth="1"/>
    <col min="522" max="522" width="24" style="2" bestFit="1" customWidth="1"/>
    <col min="523" max="523" width="18.7109375" style="2" bestFit="1" customWidth="1"/>
    <col min="524" max="524" width="19.42578125" style="2" bestFit="1" customWidth="1"/>
    <col min="525" max="525" width="0.5703125" style="2" customWidth="1"/>
    <col min="526" max="527" width="18.7109375" style="2" bestFit="1" customWidth="1"/>
    <col min="528" max="528" width="16.5703125" style="2" customWidth="1"/>
    <col min="529" max="529" width="0.7109375" style="2" customWidth="1"/>
    <col min="530" max="531" width="19.85546875" style="2" bestFit="1" customWidth="1"/>
    <col min="532" max="532" width="18.7109375" style="2" bestFit="1" customWidth="1"/>
    <col min="533" max="533" width="14.5703125" style="2" customWidth="1"/>
    <col min="534" max="534" width="9.140625" style="2"/>
    <col min="535" max="535" width="13.140625" style="2" bestFit="1" customWidth="1"/>
    <col min="536" max="768" width="9.140625" style="2"/>
    <col min="769" max="772" width="2.7109375" style="2" customWidth="1"/>
    <col min="773" max="773" width="50.5703125" style="2" customWidth="1"/>
    <col min="774" max="775" width="19.28515625" style="2" customWidth="1"/>
    <col min="776" max="776" width="18.5703125" style="2" customWidth="1"/>
    <col min="777" max="777" width="0.7109375" style="2" customWidth="1"/>
    <col min="778" max="778" width="24" style="2" bestFit="1" customWidth="1"/>
    <col min="779" max="779" width="18.7109375" style="2" bestFit="1" customWidth="1"/>
    <col min="780" max="780" width="19.42578125" style="2" bestFit="1" customWidth="1"/>
    <col min="781" max="781" width="0.5703125" style="2" customWidth="1"/>
    <col min="782" max="783" width="18.7109375" style="2" bestFit="1" customWidth="1"/>
    <col min="784" max="784" width="16.5703125" style="2" customWidth="1"/>
    <col min="785" max="785" width="0.7109375" style="2" customWidth="1"/>
    <col min="786" max="787" width="19.85546875" style="2" bestFit="1" customWidth="1"/>
    <col min="788" max="788" width="18.7109375" style="2" bestFit="1" customWidth="1"/>
    <col min="789" max="789" width="14.5703125" style="2" customWidth="1"/>
    <col min="790" max="790" width="9.140625" style="2"/>
    <col min="791" max="791" width="13.140625" style="2" bestFit="1" customWidth="1"/>
    <col min="792" max="1024" width="9.140625" style="2"/>
    <col min="1025" max="1028" width="2.7109375" style="2" customWidth="1"/>
    <col min="1029" max="1029" width="50.5703125" style="2" customWidth="1"/>
    <col min="1030" max="1031" width="19.28515625" style="2" customWidth="1"/>
    <col min="1032" max="1032" width="18.5703125" style="2" customWidth="1"/>
    <col min="1033" max="1033" width="0.7109375" style="2" customWidth="1"/>
    <col min="1034" max="1034" width="24" style="2" bestFit="1" customWidth="1"/>
    <col min="1035" max="1035" width="18.7109375" style="2" bestFit="1" customWidth="1"/>
    <col min="1036" max="1036" width="19.42578125" style="2" bestFit="1" customWidth="1"/>
    <col min="1037" max="1037" width="0.5703125" style="2" customWidth="1"/>
    <col min="1038" max="1039" width="18.7109375" style="2" bestFit="1" customWidth="1"/>
    <col min="1040" max="1040" width="16.5703125" style="2" customWidth="1"/>
    <col min="1041" max="1041" width="0.7109375" style="2" customWidth="1"/>
    <col min="1042" max="1043" width="19.85546875" style="2" bestFit="1" customWidth="1"/>
    <col min="1044" max="1044" width="18.7109375" style="2" bestFit="1" customWidth="1"/>
    <col min="1045" max="1045" width="14.5703125" style="2" customWidth="1"/>
    <col min="1046" max="1046" width="9.140625" style="2"/>
    <col min="1047" max="1047" width="13.140625" style="2" bestFit="1" customWidth="1"/>
    <col min="1048" max="1280" width="9.140625" style="2"/>
    <col min="1281" max="1284" width="2.7109375" style="2" customWidth="1"/>
    <col min="1285" max="1285" width="50.5703125" style="2" customWidth="1"/>
    <col min="1286" max="1287" width="19.28515625" style="2" customWidth="1"/>
    <col min="1288" max="1288" width="18.5703125" style="2" customWidth="1"/>
    <col min="1289" max="1289" width="0.7109375" style="2" customWidth="1"/>
    <col min="1290" max="1290" width="24" style="2" bestFit="1" customWidth="1"/>
    <col min="1291" max="1291" width="18.7109375" style="2" bestFit="1" customWidth="1"/>
    <col min="1292" max="1292" width="19.42578125" style="2" bestFit="1" customWidth="1"/>
    <col min="1293" max="1293" width="0.5703125" style="2" customWidth="1"/>
    <col min="1294" max="1295" width="18.7109375" style="2" bestFit="1" customWidth="1"/>
    <col min="1296" max="1296" width="16.5703125" style="2" customWidth="1"/>
    <col min="1297" max="1297" width="0.7109375" style="2" customWidth="1"/>
    <col min="1298" max="1299" width="19.85546875" style="2" bestFit="1" customWidth="1"/>
    <col min="1300" max="1300" width="18.7109375" style="2" bestFit="1" customWidth="1"/>
    <col min="1301" max="1301" width="14.5703125" style="2" customWidth="1"/>
    <col min="1302" max="1302" width="9.140625" style="2"/>
    <col min="1303" max="1303" width="13.140625" style="2" bestFit="1" customWidth="1"/>
    <col min="1304" max="1536" width="9.140625" style="2"/>
    <col min="1537" max="1540" width="2.7109375" style="2" customWidth="1"/>
    <col min="1541" max="1541" width="50.5703125" style="2" customWidth="1"/>
    <col min="1542" max="1543" width="19.28515625" style="2" customWidth="1"/>
    <col min="1544" max="1544" width="18.5703125" style="2" customWidth="1"/>
    <col min="1545" max="1545" width="0.7109375" style="2" customWidth="1"/>
    <col min="1546" max="1546" width="24" style="2" bestFit="1" customWidth="1"/>
    <col min="1547" max="1547" width="18.7109375" style="2" bestFit="1" customWidth="1"/>
    <col min="1548" max="1548" width="19.42578125" style="2" bestFit="1" customWidth="1"/>
    <col min="1549" max="1549" width="0.5703125" style="2" customWidth="1"/>
    <col min="1550" max="1551" width="18.7109375" style="2" bestFit="1" customWidth="1"/>
    <col min="1552" max="1552" width="16.5703125" style="2" customWidth="1"/>
    <col min="1553" max="1553" width="0.7109375" style="2" customWidth="1"/>
    <col min="1554" max="1555" width="19.85546875" style="2" bestFit="1" customWidth="1"/>
    <col min="1556" max="1556" width="18.7109375" style="2" bestFit="1" customWidth="1"/>
    <col min="1557" max="1557" width="14.5703125" style="2" customWidth="1"/>
    <col min="1558" max="1558" width="9.140625" style="2"/>
    <col min="1559" max="1559" width="13.140625" style="2" bestFit="1" customWidth="1"/>
    <col min="1560" max="1792" width="9.140625" style="2"/>
    <col min="1793" max="1796" width="2.7109375" style="2" customWidth="1"/>
    <col min="1797" max="1797" width="50.5703125" style="2" customWidth="1"/>
    <col min="1798" max="1799" width="19.28515625" style="2" customWidth="1"/>
    <col min="1800" max="1800" width="18.5703125" style="2" customWidth="1"/>
    <col min="1801" max="1801" width="0.7109375" style="2" customWidth="1"/>
    <col min="1802" max="1802" width="24" style="2" bestFit="1" customWidth="1"/>
    <col min="1803" max="1803" width="18.7109375" style="2" bestFit="1" customWidth="1"/>
    <col min="1804" max="1804" width="19.42578125" style="2" bestFit="1" customWidth="1"/>
    <col min="1805" max="1805" width="0.5703125" style="2" customWidth="1"/>
    <col min="1806" max="1807" width="18.7109375" style="2" bestFit="1" customWidth="1"/>
    <col min="1808" max="1808" width="16.5703125" style="2" customWidth="1"/>
    <col min="1809" max="1809" width="0.7109375" style="2" customWidth="1"/>
    <col min="1810" max="1811" width="19.85546875" style="2" bestFit="1" customWidth="1"/>
    <col min="1812" max="1812" width="18.7109375" style="2" bestFit="1" customWidth="1"/>
    <col min="1813" max="1813" width="14.5703125" style="2" customWidth="1"/>
    <col min="1814" max="1814" width="9.140625" style="2"/>
    <col min="1815" max="1815" width="13.140625" style="2" bestFit="1" customWidth="1"/>
    <col min="1816" max="2048" width="9.140625" style="2"/>
    <col min="2049" max="2052" width="2.7109375" style="2" customWidth="1"/>
    <col min="2053" max="2053" width="50.5703125" style="2" customWidth="1"/>
    <col min="2054" max="2055" width="19.28515625" style="2" customWidth="1"/>
    <col min="2056" max="2056" width="18.5703125" style="2" customWidth="1"/>
    <col min="2057" max="2057" width="0.7109375" style="2" customWidth="1"/>
    <col min="2058" max="2058" width="24" style="2" bestFit="1" customWidth="1"/>
    <col min="2059" max="2059" width="18.7109375" style="2" bestFit="1" customWidth="1"/>
    <col min="2060" max="2060" width="19.42578125" style="2" bestFit="1" customWidth="1"/>
    <col min="2061" max="2061" width="0.5703125" style="2" customWidth="1"/>
    <col min="2062" max="2063" width="18.7109375" style="2" bestFit="1" customWidth="1"/>
    <col min="2064" max="2064" width="16.5703125" style="2" customWidth="1"/>
    <col min="2065" max="2065" width="0.7109375" style="2" customWidth="1"/>
    <col min="2066" max="2067" width="19.85546875" style="2" bestFit="1" customWidth="1"/>
    <col min="2068" max="2068" width="18.7109375" style="2" bestFit="1" customWidth="1"/>
    <col min="2069" max="2069" width="14.5703125" style="2" customWidth="1"/>
    <col min="2070" max="2070" width="9.140625" style="2"/>
    <col min="2071" max="2071" width="13.140625" style="2" bestFit="1" customWidth="1"/>
    <col min="2072" max="2304" width="9.140625" style="2"/>
    <col min="2305" max="2308" width="2.7109375" style="2" customWidth="1"/>
    <col min="2309" max="2309" width="50.5703125" style="2" customWidth="1"/>
    <col min="2310" max="2311" width="19.28515625" style="2" customWidth="1"/>
    <col min="2312" max="2312" width="18.5703125" style="2" customWidth="1"/>
    <col min="2313" max="2313" width="0.7109375" style="2" customWidth="1"/>
    <col min="2314" max="2314" width="24" style="2" bestFit="1" customWidth="1"/>
    <col min="2315" max="2315" width="18.7109375" style="2" bestFit="1" customWidth="1"/>
    <col min="2316" max="2316" width="19.42578125" style="2" bestFit="1" customWidth="1"/>
    <col min="2317" max="2317" width="0.5703125" style="2" customWidth="1"/>
    <col min="2318" max="2319" width="18.7109375" style="2" bestFit="1" customWidth="1"/>
    <col min="2320" max="2320" width="16.5703125" style="2" customWidth="1"/>
    <col min="2321" max="2321" width="0.7109375" style="2" customWidth="1"/>
    <col min="2322" max="2323" width="19.85546875" style="2" bestFit="1" customWidth="1"/>
    <col min="2324" max="2324" width="18.7109375" style="2" bestFit="1" customWidth="1"/>
    <col min="2325" max="2325" width="14.5703125" style="2" customWidth="1"/>
    <col min="2326" max="2326" width="9.140625" style="2"/>
    <col min="2327" max="2327" width="13.140625" style="2" bestFit="1" customWidth="1"/>
    <col min="2328" max="2560" width="9.140625" style="2"/>
    <col min="2561" max="2564" width="2.7109375" style="2" customWidth="1"/>
    <col min="2565" max="2565" width="50.5703125" style="2" customWidth="1"/>
    <col min="2566" max="2567" width="19.28515625" style="2" customWidth="1"/>
    <col min="2568" max="2568" width="18.5703125" style="2" customWidth="1"/>
    <col min="2569" max="2569" width="0.7109375" style="2" customWidth="1"/>
    <col min="2570" max="2570" width="24" style="2" bestFit="1" customWidth="1"/>
    <col min="2571" max="2571" width="18.7109375" style="2" bestFit="1" customWidth="1"/>
    <col min="2572" max="2572" width="19.42578125" style="2" bestFit="1" customWidth="1"/>
    <col min="2573" max="2573" width="0.5703125" style="2" customWidth="1"/>
    <col min="2574" max="2575" width="18.7109375" style="2" bestFit="1" customWidth="1"/>
    <col min="2576" max="2576" width="16.5703125" style="2" customWidth="1"/>
    <col min="2577" max="2577" width="0.7109375" style="2" customWidth="1"/>
    <col min="2578" max="2579" width="19.85546875" style="2" bestFit="1" customWidth="1"/>
    <col min="2580" max="2580" width="18.7109375" style="2" bestFit="1" customWidth="1"/>
    <col min="2581" max="2581" width="14.5703125" style="2" customWidth="1"/>
    <col min="2582" max="2582" width="9.140625" style="2"/>
    <col min="2583" max="2583" width="13.140625" style="2" bestFit="1" customWidth="1"/>
    <col min="2584" max="2816" width="9.140625" style="2"/>
    <col min="2817" max="2820" width="2.7109375" style="2" customWidth="1"/>
    <col min="2821" max="2821" width="50.5703125" style="2" customWidth="1"/>
    <col min="2822" max="2823" width="19.28515625" style="2" customWidth="1"/>
    <col min="2824" max="2824" width="18.5703125" style="2" customWidth="1"/>
    <col min="2825" max="2825" width="0.7109375" style="2" customWidth="1"/>
    <col min="2826" max="2826" width="24" style="2" bestFit="1" customWidth="1"/>
    <col min="2827" max="2827" width="18.7109375" style="2" bestFit="1" customWidth="1"/>
    <col min="2828" max="2828" width="19.42578125" style="2" bestFit="1" customWidth="1"/>
    <col min="2829" max="2829" width="0.5703125" style="2" customWidth="1"/>
    <col min="2830" max="2831" width="18.7109375" style="2" bestFit="1" customWidth="1"/>
    <col min="2832" max="2832" width="16.5703125" style="2" customWidth="1"/>
    <col min="2833" max="2833" width="0.7109375" style="2" customWidth="1"/>
    <col min="2834" max="2835" width="19.85546875" style="2" bestFit="1" customWidth="1"/>
    <col min="2836" max="2836" width="18.7109375" style="2" bestFit="1" customWidth="1"/>
    <col min="2837" max="2837" width="14.5703125" style="2" customWidth="1"/>
    <col min="2838" max="2838" width="9.140625" style="2"/>
    <col min="2839" max="2839" width="13.140625" style="2" bestFit="1" customWidth="1"/>
    <col min="2840" max="3072" width="9.140625" style="2"/>
    <col min="3073" max="3076" width="2.7109375" style="2" customWidth="1"/>
    <col min="3077" max="3077" width="50.5703125" style="2" customWidth="1"/>
    <col min="3078" max="3079" width="19.28515625" style="2" customWidth="1"/>
    <col min="3080" max="3080" width="18.5703125" style="2" customWidth="1"/>
    <col min="3081" max="3081" width="0.7109375" style="2" customWidth="1"/>
    <col min="3082" max="3082" width="24" style="2" bestFit="1" customWidth="1"/>
    <col min="3083" max="3083" width="18.7109375" style="2" bestFit="1" customWidth="1"/>
    <col min="3084" max="3084" width="19.42578125" style="2" bestFit="1" customWidth="1"/>
    <col min="3085" max="3085" width="0.5703125" style="2" customWidth="1"/>
    <col min="3086" max="3087" width="18.7109375" style="2" bestFit="1" customWidth="1"/>
    <col min="3088" max="3088" width="16.5703125" style="2" customWidth="1"/>
    <col min="3089" max="3089" width="0.7109375" style="2" customWidth="1"/>
    <col min="3090" max="3091" width="19.85546875" style="2" bestFit="1" customWidth="1"/>
    <col min="3092" max="3092" width="18.7109375" style="2" bestFit="1" customWidth="1"/>
    <col min="3093" max="3093" width="14.5703125" style="2" customWidth="1"/>
    <col min="3094" max="3094" width="9.140625" style="2"/>
    <col min="3095" max="3095" width="13.140625" style="2" bestFit="1" customWidth="1"/>
    <col min="3096" max="3328" width="9.140625" style="2"/>
    <col min="3329" max="3332" width="2.7109375" style="2" customWidth="1"/>
    <col min="3333" max="3333" width="50.5703125" style="2" customWidth="1"/>
    <col min="3334" max="3335" width="19.28515625" style="2" customWidth="1"/>
    <col min="3336" max="3336" width="18.5703125" style="2" customWidth="1"/>
    <col min="3337" max="3337" width="0.7109375" style="2" customWidth="1"/>
    <col min="3338" max="3338" width="24" style="2" bestFit="1" customWidth="1"/>
    <col min="3339" max="3339" width="18.7109375" style="2" bestFit="1" customWidth="1"/>
    <col min="3340" max="3340" width="19.42578125" style="2" bestFit="1" customWidth="1"/>
    <col min="3341" max="3341" width="0.5703125" style="2" customWidth="1"/>
    <col min="3342" max="3343" width="18.7109375" style="2" bestFit="1" customWidth="1"/>
    <col min="3344" max="3344" width="16.5703125" style="2" customWidth="1"/>
    <col min="3345" max="3345" width="0.7109375" style="2" customWidth="1"/>
    <col min="3346" max="3347" width="19.85546875" style="2" bestFit="1" customWidth="1"/>
    <col min="3348" max="3348" width="18.7109375" style="2" bestFit="1" customWidth="1"/>
    <col min="3349" max="3349" width="14.5703125" style="2" customWidth="1"/>
    <col min="3350" max="3350" width="9.140625" style="2"/>
    <col min="3351" max="3351" width="13.140625" style="2" bestFit="1" customWidth="1"/>
    <col min="3352" max="3584" width="9.140625" style="2"/>
    <col min="3585" max="3588" width="2.7109375" style="2" customWidth="1"/>
    <col min="3589" max="3589" width="50.5703125" style="2" customWidth="1"/>
    <col min="3590" max="3591" width="19.28515625" style="2" customWidth="1"/>
    <col min="3592" max="3592" width="18.5703125" style="2" customWidth="1"/>
    <col min="3593" max="3593" width="0.7109375" style="2" customWidth="1"/>
    <col min="3594" max="3594" width="24" style="2" bestFit="1" customWidth="1"/>
    <col min="3595" max="3595" width="18.7109375" style="2" bestFit="1" customWidth="1"/>
    <col min="3596" max="3596" width="19.42578125" style="2" bestFit="1" customWidth="1"/>
    <col min="3597" max="3597" width="0.5703125" style="2" customWidth="1"/>
    <col min="3598" max="3599" width="18.7109375" style="2" bestFit="1" customWidth="1"/>
    <col min="3600" max="3600" width="16.5703125" style="2" customWidth="1"/>
    <col min="3601" max="3601" width="0.7109375" style="2" customWidth="1"/>
    <col min="3602" max="3603" width="19.85546875" style="2" bestFit="1" customWidth="1"/>
    <col min="3604" max="3604" width="18.7109375" style="2" bestFit="1" customWidth="1"/>
    <col min="3605" max="3605" width="14.5703125" style="2" customWidth="1"/>
    <col min="3606" max="3606" width="9.140625" style="2"/>
    <col min="3607" max="3607" width="13.140625" style="2" bestFit="1" customWidth="1"/>
    <col min="3608" max="3840" width="9.140625" style="2"/>
    <col min="3841" max="3844" width="2.7109375" style="2" customWidth="1"/>
    <col min="3845" max="3845" width="50.5703125" style="2" customWidth="1"/>
    <col min="3846" max="3847" width="19.28515625" style="2" customWidth="1"/>
    <col min="3848" max="3848" width="18.5703125" style="2" customWidth="1"/>
    <col min="3849" max="3849" width="0.7109375" style="2" customWidth="1"/>
    <col min="3850" max="3850" width="24" style="2" bestFit="1" customWidth="1"/>
    <col min="3851" max="3851" width="18.7109375" style="2" bestFit="1" customWidth="1"/>
    <col min="3852" max="3852" width="19.42578125" style="2" bestFit="1" customWidth="1"/>
    <col min="3853" max="3853" width="0.5703125" style="2" customWidth="1"/>
    <col min="3854" max="3855" width="18.7109375" style="2" bestFit="1" customWidth="1"/>
    <col min="3856" max="3856" width="16.5703125" style="2" customWidth="1"/>
    <col min="3857" max="3857" width="0.7109375" style="2" customWidth="1"/>
    <col min="3858" max="3859" width="19.85546875" style="2" bestFit="1" customWidth="1"/>
    <col min="3860" max="3860" width="18.7109375" style="2" bestFit="1" customWidth="1"/>
    <col min="3861" max="3861" width="14.5703125" style="2" customWidth="1"/>
    <col min="3862" max="3862" width="9.140625" style="2"/>
    <col min="3863" max="3863" width="13.140625" style="2" bestFit="1" customWidth="1"/>
    <col min="3864" max="4096" width="9.140625" style="2"/>
    <col min="4097" max="4100" width="2.7109375" style="2" customWidth="1"/>
    <col min="4101" max="4101" width="50.5703125" style="2" customWidth="1"/>
    <col min="4102" max="4103" width="19.28515625" style="2" customWidth="1"/>
    <col min="4104" max="4104" width="18.5703125" style="2" customWidth="1"/>
    <col min="4105" max="4105" width="0.7109375" style="2" customWidth="1"/>
    <col min="4106" max="4106" width="24" style="2" bestFit="1" customWidth="1"/>
    <col min="4107" max="4107" width="18.7109375" style="2" bestFit="1" customWidth="1"/>
    <col min="4108" max="4108" width="19.42578125" style="2" bestFit="1" customWidth="1"/>
    <col min="4109" max="4109" width="0.5703125" style="2" customWidth="1"/>
    <col min="4110" max="4111" width="18.7109375" style="2" bestFit="1" customWidth="1"/>
    <col min="4112" max="4112" width="16.5703125" style="2" customWidth="1"/>
    <col min="4113" max="4113" width="0.7109375" style="2" customWidth="1"/>
    <col min="4114" max="4115" width="19.85546875" style="2" bestFit="1" customWidth="1"/>
    <col min="4116" max="4116" width="18.7109375" style="2" bestFit="1" customWidth="1"/>
    <col min="4117" max="4117" width="14.5703125" style="2" customWidth="1"/>
    <col min="4118" max="4118" width="9.140625" style="2"/>
    <col min="4119" max="4119" width="13.140625" style="2" bestFit="1" customWidth="1"/>
    <col min="4120" max="4352" width="9.140625" style="2"/>
    <col min="4353" max="4356" width="2.7109375" style="2" customWidth="1"/>
    <col min="4357" max="4357" width="50.5703125" style="2" customWidth="1"/>
    <col min="4358" max="4359" width="19.28515625" style="2" customWidth="1"/>
    <col min="4360" max="4360" width="18.5703125" style="2" customWidth="1"/>
    <col min="4361" max="4361" width="0.7109375" style="2" customWidth="1"/>
    <col min="4362" max="4362" width="24" style="2" bestFit="1" customWidth="1"/>
    <col min="4363" max="4363" width="18.7109375" style="2" bestFit="1" customWidth="1"/>
    <col min="4364" max="4364" width="19.42578125" style="2" bestFit="1" customWidth="1"/>
    <col min="4365" max="4365" width="0.5703125" style="2" customWidth="1"/>
    <col min="4366" max="4367" width="18.7109375" style="2" bestFit="1" customWidth="1"/>
    <col min="4368" max="4368" width="16.5703125" style="2" customWidth="1"/>
    <col min="4369" max="4369" width="0.7109375" style="2" customWidth="1"/>
    <col min="4370" max="4371" width="19.85546875" style="2" bestFit="1" customWidth="1"/>
    <col min="4372" max="4372" width="18.7109375" style="2" bestFit="1" customWidth="1"/>
    <col min="4373" max="4373" width="14.5703125" style="2" customWidth="1"/>
    <col min="4374" max="4374" width="9.140625" style="2"/>
    <col min="4375" max="4375" width="13.140625" style="2" bestFit="1" customWidth="1"/>
    <col min="4376" max="4608" width="9.140625" style="2"/>
    <col min="4609" max="4612" width="2.7109375" style="2" customWidth="1"/>
    <col min="4613" max="4613" width="50.5703125" style="2" customWidth="1"/>
    <col min="4614" max="4615" width="19.28515625" style="2" customWidth="1"/>
    <col min="4616" max="4616" width="18.5703125" style="2" customWidth="1"/>
    <col min="4617" max="4617" width="0.7109375" style="2" customWidth="1"/>
    <col min="4618" max="4618" width="24" style="2" bestFit="1" customWidth="1"/>
    <col min="4619" max="4619" width="18.7109375" style="2" bestFit="1" customWidth="1"/>
    <col min="4620" max="4620" width="19.42578125" style="2" bestFit="1" customWidth="1"/>
    <col min="4621" max="4621" width="0.5703125" style="2" customWidth="1"/>
    <col min="4622" max="4623" width="18.7109375" style="2" bestFit="1" customWidth="1"/>
    <col min="4624" max="4624" width="16.5703125" style="2" customWidth="1"/>
    <col min="4625" max="4625" width="0.7109375" style="2" customWidth="1"/>
    <col min="4626" max="4627" width="19.85546875" style="2" bestFit="1" customWidth="1"/>
    <col min="4628" max="4628" width="18.7109375" style="2" bestFit="1" customWidth="1"/>
    <col min="4629" max="4629" width="14.5703125" style="2" customWidth="1"/>
    <col min="4630" max="4630" width="9.140625" style="2"/>
    <col min="4631" max="4631" width="13.140625" style="2" bestFit="1" customWidth="1"/>
    <col min="4632" max="4864" width="9.140625" style="2"/>
    <col min="4865" max="4868" width="2.7109375" style="2" customWidth="1"/>
    <col min="4869" max="4869" width="50.5703125" style="2" customWidth="1"/>
    <col min="4870" max="4871" width="19.28515625" style="2" customWidth="1"/>
    <col min="4872" max="4872" width="18.5703125" style="2" customWidth="1"/>
    <col min="4873" max="4873" width="0.7109375" style="2" customWidth="1"/>
    <col min="4874" max="4874" width="24" style="2" bestFit="1" customWidth="1"/>
    <col min="4875" max="4875" width="18.7109375" style="2" bestFit="1" customWidth="1"/>
    <col min="4876" max="4876" width="19.42578125" style="2" bestFit="1" customWidth="1"/>
    <col min="4877" max="4877" width="0.5703125" style="2" customWidth="1"/>
    <col min="4878" max="4879" width="18.7109375" style="2" bestFit="1" customWidth="1"/>
    <col min="4880" max="4880" width="16.5703125" style="2" customWidth="1"/>
    <col min="4881" max="4881" width="0.7109375" style="2" customWidth="1"/>
    <col min="4882" max="4883" width="19.85546875" style="2" bestFit="1" customWidth="1"/>
    <col min="4884" max="4884" width="18.7109375" style="2" bestFit="1" customWidth="1"/>
    <col min="4885" max="4885" width="14.5703125" style="2" customWidth="1"/>
    <col min="4886" max="4886" width="9.140625" style="2"/>
    <col min="4887" max="4887" width="13.140625" style="2" bestFit="1" customWidth="1"/>
    <col min="4888" max="5120" width="9.140625" style="2"/>
    <col min="5121" max="5124" width="2.7109375" style="2" customWidth="1"/>
    <col min="5125" max="5125" width="50.5703125" style="2" customWidth="1"/>
    <col min="5126" max="5127" width="19.28515625" style="2" customWidth="1"/>
    <col min="5128" max="5128" width="18.5703125" style="2" customWidth="1"/>
    <col min="5129" max="5129" width="0.7109375" style="2" customWidth="1"/>
    <col min="5130" max="5130" width="24" style="2" bestFit="1" customWidth="1"/>
    <col min="5131" max="5131" width="18.7109375" style="2" bestFit="1" customWidth="1"/>
    <col min="5132" max="5132" width="19.42578125" style="2" bestFit="1" customWidth="1"/>
    <col min="5133" max="5133" width="0.5703125" style="2" customWidth="1"/>
    <col min="5134" max="5135" width="18.7109375" style="2" bestFit="1" customWidth="1"/>
    <col min="5136" max="5136" width="16.5703125" style="2" customWidth="1"/>
    <col min="5137" max="5137" width="0.7109375" style="2" customWidth="1"/>
    <col min="5138" max="5139" width="19.85546875" style="2" bestFit="1" customWidth="1"/>
    <col min="5140" max="5140" width="18.7109375" style="2" bestFit="1" customWidth="1"/>
    <col min="5141" max="5141" width="14.5703125" style="2" customWidth="1"/>
    <col min="5142" max="5142" width="9.140625" style="2"/>
    <col min="5143" max="5143" width="13.140625" style="2" bestFit="1" customWidth="1"/>
    <col min="5144" max="5376" width="9.140625" style="2"/>
    <col min="5377" max="5380" width="2.7109375" style="2" customWidth="1"/>
    <col min="5381" max="5381" width="50.5703125" style="2" customWidth="1"/>
    <col min="5382" max="5383" width="19.28515625" style="2" customWidth="1"/>
    <col min="5384" max="5384" width="18.5703125" style="2" customWidth="1"/>
    <col min="5385" max="5385" width="0.7109375" style="2" customWidth="1"/>
    <col min="5386" max="5386" width="24" style="2" bestFit="1" customWidth="1"/>
    <col min="5387" max="5387" width="18.7109375" style="2" bestFit="1" customWidth="1"/>
    <col min="5388" max="5388" width="19.42578125" style="2" bestFit="1" customWidth="1"/>
    <col min="5389" max="5389" width="0.5703125" style="2" customWidth="1"/>
    <col min="5390" max="5391" width="18.7109375" style="2" bestFit="1" customWidth="1"/>
    <col min="5392" max="5392" width="16.5703125" style="2" customWidth="1"/>
    <col min="5393" max="5393" width="0.7109375" style="2" customWidth="1"/>
    <col min="5394" max="5395" width="19.85546875" style="2" bestFit="1" customWidth="1"/>
    <col min="5396" max="5396" width="18.7109375" style="2" bestFit="1" customWidth="1"/>
    <col min="5397" max="5397" width="14.5703125" style="2" customWidth="1"/>
    <col min="5398" max="5398" width="9.140625" style="2"/>
    <col min="5399" max="5399" width="13.140625" style="2" bestFit="1" customWidth="1"/>
    <col min="5400" max="5632" width="9.140625" style="2"/>
    <col min="5633" max="5636" width="2.7109375" style="2" customWidth="1"/>
    <col min="5637" max="5637" width="50.5703125" style="2" customWidth="1"/>
    <col min="5638" max="5639" width="19.28515625" style="2" customWidth="1"/>
    <col min="5640" max="5640" width="18.5703125" style="2" customWidth="1"/>
    <col min="5641" max="5641" width="0.7109375" style="2" customWidth="1"/>
    <col min="5642" max="5642" width="24" style="2" bestFit="1" customWidth="1"/>
    <col min="5643" max="5643" width="18.7109375" style="2" bestFit="1" customWidth="1"/>
    <col min="5644" max="5644" width="19.42578125" style="2" bestFit="1" customWidth="1"/>
    <col min="5645" max="5645" width="0.5703125" style="2" customWidth="1"/>
    <col min="5646" max="5647" width="18.7109375" style="2" bestFit="1" customWidth="1"/>
    <col min="5648" max="5648" width="16.5703125" style="2" customWidth="1"/>
    <col min="5649" max="5649" width="0.7109375" style="2" customWidth="1"/>
    <col min="5650" max="5651" width="19.85546875" style="2" bestFit="1" customWidth="1"/>
    <col min="5652" max="5652" width="18.7109375" style="2" bestFit="1" customWidth="1"/>
    <col min="5653" max="5653" width="14.5703125" style="2" customWidth="1"/>
    <col min="5654" max="5654" width="9.140625" style="2"/>
    <col min="5655" max="5655" width="13.140625" style="2" bestFit="1" customWidth="1"/>
    <col min="5656" max="5888" width="9.140625" style="2"/>
    <col min="5889" max="5892" width="2.7109375" style="2" customWidth="1"/>
    <col min="5893" max="5893" width="50.5703125" style="2" customWidth="1"/>
    <col min="5894" max="5895" width="19.28515625" style="2" customWidth="1"/>
    <col min="5896" max="5896" width="18.5703125" style="2" customWidth="1"/>
    <col min="5897" max="5897" width="0.7109375" style="2" customWidth="1"/>
    <col min="5898" max="5898" width="24" style="2" bestFit="1" customWidth="1"/>
    <col min="5899" max="5899" width="18.7109375" style="2" bestFit="1" customWidth="1"/>
    <col min="5900" max="5900" width="19.42578125" style="2" bestFit="1" customWidth="1"/>
    <col min="5901" max="5901" width="0.5703125" style="2" customWidth="1"/>
    <col min="5902" max="5903" width="18.7109375" style="2" bestFit="1" customWidth="1"/>
    <col min="5904" max="5904" width="16.5703125" style="2" customWidth="1"/>
    <col min="5905" max="5905" width="0.7109375" style="2" customWidth="1"/>
    <col min="5906" max="5907" width="19.85546875" style="2" bestFit="1" customWidth="1"/>
    <col min="5908" max="5908" width="18.7109375" style="2" bestFit="1" customWidth="1"/>
    <col min="5909" max="5909" width="14.5703125" style="2" customWidth="1"/>
    <col min="5910" max="5910" width="9.140625" style="2"/>
    <col min="5911" max="5911" width="13.140625" style="2" bestFit="1" customWidth="1"/>
    <col min="5912" max="6144" width="9.140625" style="2"/>
    <col min="6145" max="6148" width="2.7109375" style="2" customWidth="1"/>
    <col min="6149" max="6149" width="50.5703125" style="2" customWidth="1"/>
    <col min="6150" max="6151" width="19.28515625" style="2" customWidth="1"/>
    <col min="6152" max="6152" width="18.5703125" style="2" customWidth="1"/>
    <col min="6153" max="6153" width="0.7109375" style="2" customWidth="1"/>
    <col min="6154" max="6154" width="24" style="2" bestFit="1" customWidth="1"/>
    <col min="6155" max="6155" width="18.7109375" style="2" bestFit="1" customWidth="1"/>
    <col min="6156" max="6156" width="19.42578125" style="2" bestFit="1" customWidth="1"/>
    <col min="6157" max="6157" width="0.5703125" style="2" customWidth="1"/>
    <col min="6158" max="6159" width="18.7109375" style="2" bestFit="1" customWidth="1"/>
    <col min="6160" max="6160" width="16.5703125" style="2" customWidth="1"/>
    <col min="6161" max="6161" width="0.7109375" style="2" customWidth="1"/>
    <col min="6162" max="6163" width="19.85546875" style="2" bestFit="1" customWidth="1"/>
    <col min="6164" max="6164" width="18.7109375" style="2" bestFit="1" customWidth="1"/>
    <col min="6165" max="6165" width="14.5703125" style="2" customWidth="1"/>
    <col min="6166" max="6166" width="9.140625" style="2"/>
    <col min="6167" max="6167" width="13.140625" style="2" bestFit="1" customWidth="1"/>
    <col min="6168" max="6400" width="9.140625" style="2"/>
    <col min="6401" max="6404" width="2.7109375" style="2" customWidth="1"/>
    <col min="6405" max="6405" width="50.5703125" style="2" customWidth="1"/>
    <col min="6406" max="6407" width="19.28515625" style="2" customWidth="1"/>
    <col min="6408" max="6408" width="18.5703125" style="2" customWidth="1"/>
    <col min="6409" max="6409" width="0.7109375" style="2" customWidth="1"/>
    <col min="6410" max="6410" width="24" style="2" bestFit="1" customWidth="1"/>
    <col min="6411" max="6411" width="18.7109375" style="2" bestFit="1" customWidth="1"/>
    <col min="6412" max="6412" width="19.42578125" style="2" bestFit="1" customWidth="1"/>
    <col min="6413" max="6413" width="0.5703125" style="2" customWidth="1"/>
    <col min="6414" max="6415" width="18.7109375" style="2" bestFit="1" customWidth="1"/>
    <col min="6416" max="6416" width="16.5703125" style="2" customWidth="1"/>
    <col min="6417" max="6417" width="0.7109375" style="2" customWidth="1"/>
    <col min="6418" max="6419" width="19.85546875" style="2" bestFit="1" customWidth="1"/>
    <col min="6420" max="6420" width="18.7109375" style="2" bestFit="1" customWidth="1"/>
    <col min="6421" max="6421" width="14.5703125" style="2" customWidth="1"/>
    <col min="6422" max="6422" width="9.140625" style="2"/>
    <col min="6423" max="6423" width="13.140625" style="2" bestFit="1" customWidth="1"/>
    <col min="6424" max="6656" width="9.140625" style="2"/>
    <col min="6657" max="6660" width="2.7109375" style="2" customWidth="1"/>
    <col min="6661" max="6661" width="50.5703125" style="2" customWidth="1"/>
    <col min="6662" max="6663" width="19.28515625" style="2" customWidth="1"/>
    <col min="6664" max="6664" width="18.5703125" style="2" customWidth="1"/>
    <col min="6665" max="6665" width="0.7109375" style="2" customWidth="1"/>
    <col min="6666" max="6666" width="24" style="2" bestFit="1" customWidth="1"/>
    <col min="6667" max="6667" width="18.7109375" style="2" bestFit="1" customWidth="1"/>
    <col min="6668" max="6668" width="19.42578125" style="2" bestFit="1" customWidth="1"/>
    <col min="6669" max="6669" width="0.5703125" style="2" customWidth="1"/>
    <col min="6670" max="6671" width="18.7109375" style="2" bestFit="1" customWidth="1"/>
    <col min="6672" max="6672" width="16.5703125" style="2" customWidth="1"/>
    <col min="6673" max="6673" width="0.7109375" style="2" customWidth="1"/>
    <col min="6674" max="6675" width="19.85546875" style="2" bestFit="1" customWidth="1"/>
    <col min="6676" max="6676" width="18.7109375" style="2" bestFit="1" customWidth="1"/>
    <col min="6677" max="6677" width="14.5703125" style="2" customWidth="1"/>
    <col min="6678" max="6678" width="9.140625" style="2"/>
    <col min="6679" max="6679" width="13.140625" style="2" bestFit="1" customWidth="1"/>
    <col min="6680" max="6912" width="9.140625" style="2"/>
    <col min="6913" max="6916" width="2.7109375" style="2" customWidth="1"/>
    <col min="6917" max="6917" width="50.5703125" style="2" customWidth="1"/>
    <col min="6918" max="6919" width="19.28515625" style="2" customWidth="1"/>
    <col min="6920" max="6920" width="18.5703125" style="2" customWidth="1"/>
    <col min="6921" max="6921" width="0.7109375" style="2" customWidth="1"/>
    <col min="6922" max="6922" width="24" style="2" bestFit="1" customWidth="1"/>
    <col min="6923" max="6923" width="18.7109375" style="2" bestFit="1" customWidth="1"/>
    <col min="6924" max="6924" width="19.42578125" style="2" bestFit="1" customWidth="1"/>
    <col min="6925" max="6925" width="0.5703125" style="2" customWidth="1"/>
    <col min="6926" max="6927" width="18.7109375" style="2" bestFit="1" customWidth="1"/>
    <col min="6928" max="6928" width="16.5703125" style="2" customWidth="1"/>
    <col min="6929" max="6929" width="0.7109375" style="2" customWidth="1"/>
    <col min="6930" max="6931" width="19.85546875" style="2" bestFit="1" customWidth="1"/>
    <col min="6932" max="6932" width="18.7109375" style="2" bestFit="1" customWidth="1"/>
    <col min="6933" max="6933" width="14.5703125" style="2" customWidth="1"/>
    <col min="6934" max="6934" width="9.140625" style="2"/>
    <col min="6935" max="6935" width="13.140625" style="2" bestFit="1" customWidth="1"/>
    <col min="6936" max="7168" width="9.140625" style="2"/>
    <col min="7169" max="7172" width="2.7109375" style="2" customWidth="1"/>
    <col min="7173" max="7173" width="50.5703125" style="2" customWidth="1"/>
    <col min="7174" max="7175" width="19.28515625" style="2" customWidth="1"/>
    <col min="7176" max="7176" width="18.5703125" style="2" customWidth="1"/>
    <col min="7177" max="7177" width="0.7109375" style="2" customWidth="1"/>
    <col min="7178" max="7178" width="24" style="2" bestFit="1" customWidth="1"/>
    <col min="7179" max="7179" width="18.7109375" style="2" bestFit="1" customWidth="1"/>
    <col min="7180" max="7180" width="19.42578125" style="2" bestFit="1" customWidth="1"/>
    <col min="7181" max="7181" width="0.5703125" style="2" customWidth="1"/>
    <col min="7182" max="7183" width="18.7109375" style="2" bestFit="1" customWidth="1"/>
    <col min="7184" max="7184" width="16.5703125" style="2" customWidth="1"/>
    <col min="7185" max="7185" width="0.7109375" style="2" customWidth="1"/>
    <col min="7186" max="7187" width="19.85546875" style="2" bestFit="1" customWidth="1"/>
    <col min="7188" max="7188" width="18.7109375" style="2" bestFit="1" customWidth="1"/>
    <col min="7189" max="7189" width="14.5703125" style="2" customWidth="1"/>
    <col min="7190" max="7190" width="9.140625" style="2"/>
    <col min="7191" max="7191" width="13.140625" style="2" bestFit="1" customWidth="1"/>
    <col min="7192" max="7424" width="9.140625" style="2"/>
    <col min="7425" max="7428" width="2.7109375" style="2" customWidth="1"/>
    <col min="7429" max="7429" width="50.5703125" style="2" customWidth="1"/>
    <col min="7430" max="7431" width="19.28515625" style="2" customWidth="1"/>
    <col min="7432" max="7432" width="18.5703125" style="2" customWidth="1"/>
    <col min="7433" max="7433" width="0.7109375" style="2" customWidth="1"/>
    <col min="7434" max="7434" width="24" style="2" bestFit="1" customWidth="1"/>
    <col min="7435" max="7435" width="18.7109375" style="2" bestFit="1" customWidth="1"/>
    <col min="7436" max="7436" width="19.42578125" style="2" bestFit="1" customWidth="1"/>
    <col min="7437" max="7437" width="0.5703125" style="2" customWidth="1"/>
    <col min="7438" max="7439" width="18.7109375" style="2" bestFit="1" customWidth="1"/>
    <col min="7440" max="7440" width="16.5703125" style="2" customWidth="1"/>
    <col min="7441" max="7441" width="0.7109375" style="2" customWidth="1"/>
    <col min="7442" max="7443" width="19.85546875" style="2" bestFit="1" customWidth="1"/>
    <col min="7444" max="7444" width="18.7109375" style="2" bestFit="1" customWidth="1"/>
    <col min="7445" max="7445" width="14.5703125" style="2" customWidth="1"/>
    <col min="7446" max="7446" width="9.140625" style="2"/>
    <col min="7447" max="7447" width="13.140625" style="2" bestFit="1" customWidth="1"/>
    <col min="7448" max="7680" width="9.140625" style="2"/>
    <col min="7681" max="7684" width="2.7109375" style="2" customWidth="1"/>
    <col min="7685" max="7685" width="50.5703125" style="2" customWidth="1"/>
    <col min="7686" max="7687" width="19.28515625" style="2" customWidth="1"/>
    <col min="7688" max="7688" width="18.5703125" style="2" customWidth="1"/>
    <col min="7689" max="7689" width="0.7109375" style="2" customWidth="1"/>
    <col min="7690" max="7690" width="24" style="2" bestFit="1" customWidth="1"/>
    <col min="7691" max="7691" width="18.7109375" style="2" bestFit="1" customWidth="1"/>
    <col min="7692" max="7692" width="19.42578125" style="2" bestFit="1" customWidth="1"/>
    <col min="7693" max="7693" width="0.5703125" style="2" customWidth="1"/>
    <col min="7694" max="7695" width="18.7109375" style="2" bestFit="1" customWidth="1"/>
    <col min="7696" max="7696" width="16.5703125" style="2" customWidth="1"/>
    <col min="7697" max="7697" width="0.7109375" style="2" customWidth="1"/>
    <col min="7698" max="7699" width="19.85546875" style="2" bestFit="1" customWidth="1"/>
    <col min="7700" max="7700" width="18.7109375" style="2" bestFit="1" customWidth="1"/>
    <col min="7701" max="7701" width="14.5703125" style="2" customWidth="1"/>
    <col min="7702" max="7702" width="9.140625" style="2"/>
    <col min="7703" max="7703" width="13.140625" style="2" bestFit="1" customWidth="1"/>
    <col min="7704" max="7936" width="9.140625" style="2"/>
    <col min="7937" max="7940" width="2.7109375" style="2" customWidth="1"/>
    <col min="7941" max="7941" width="50.5703125" style="2" customWidth="1"/>
    <col min="7942" max="7943" width="19.28515625" style="2" customWidth="1"/>
    <col min="7944" max="7944" width="18.5703125" style="2" customWidth="1"/>
    <col min="7945" max="7945" width="0.7109375" style="2" customWidth="1"/>
    <col min="7946" max="7946" width="24" style="2" bestFit="1" customWidth="1"/>
    <col min="7947" max="7947" width="18.7109375" style="2" bestFit="1" customWidth="1"/>
    <col min="7948" max="7948" width="19.42578125" style="2" bestFit="1" customWidth="1"/>
    <col min="7949" max="7949" width="0.5703125" style="2" customWidth="1"/>
    <col min="7950" max="7951" width="18.7109375" style="2" bestFit="1" customWidth="1"/>
    <col min="7952" max="7952" width="16.5703125" style="2" customWidth="1"/>
    <col min="7953" max="7953" width="0.7109375" style="2" customWidth="1"/>
    <col min="7954" max="7955" width="19.85546875" style="2" bestFit="1" customWidth="1"/>
    <col min="7956" max="7956" width="18.7109375" style="2" bestFit="1" customWidth="1"/>
    <col min="7957" max="7957" width="14.5703125" style="2" customWidth="1"/>
    <col min="7958" max="7958" width="9.140625" style="2"/>
    <col min="7959" max="7959" width="13.140625" style="2" bestFit="1" customWidth="1"/>
    <col min="7960" max="8192" width="9.140625" style="2"/>
    <col min="8193" max="8196" width="2.7109375" style="2" customWidth="1"/>
    <col min="8197" max="8197" width="50.5703125" style="2" customWidth="1"/>
    <col min="8198" max="8199" width="19.28515625" style="2" customWidth="1"/>
    <col min="8200" max="8200" width="18.5703125" style="2" customWidth="1"/>
    <col min="8201" max="8201" width="0.7109375" style="2" customWidth="1"/>
    <col min="8202" max="8202" width="24" style="2" bestFit="1" customWidth="1"/>
    <col min="8203" max="8203" width="18.7109375" style="2" bestFit="1" customWidth="1"/>
    <col min="8204" max="8204" width="19.42578125" style="2" bestFit="1" customWidth="1"/>
    <col min="8205" max="8205" width="0.5703125" style="2" customWidth="1"/>
    <col min="8206" max="8207" width="18.7109375" style="2" bestFit="1" customWidth="1"/>
    <col min="8208" max="8208" width="16.5703125" style="2" customWidth="1"/>
    <col min="8209" max="8209" width="0.7109375" style="2" customWidth="1"/>
    <col min="8210" max="8211" width="19.85546875" style="2" bestFit="1" customWidth="1"/>
    <col min="8212" max="8212" width="18.7109375" style="2" bestFit="1" customWidth="1"/>
    <col min="8213" max="8213" width="14.5703125" style="2" customWidth="1"/>
    <col min="8214" max="8214" width="9.140625" style="2"/>
    <col min="8215" max="8215" width="13.140625" style="2" bestFit="1" customWidth="1"/>
    <col min="8216" max="8448" width="9.140625" style="2"/>
    <col min="8449" max="8452" width="2.7109375" style="2" customWidth="1"/>
    <col min="8453" max="8453" width="50.5703125" style="2" customWidth="1"/>
    <col min="8454" max="8455" width="19.28515625" style="2" customWidth="1"/>
    <col min="8456" max="8456" width="18.5703125" style="2" customWidth="1"/>
    <col min="8457" max="8457" width="0.7109375" style="2" customWidth="1"/>
    <col min="8458" max="8458" width="24" style="2" bestFit="1" customWidth="1"/>
    <col min="8459" max="8459" width="18.7109375" style="2" bestFit="1" customWidth="1"/>
    <col min="8460" max="8460" width="19.42578125" style="2" bestFit="1" customWidth="1"/>
    <col min="8461" max="8461" width="0.5703125" style="2" customWidth="1"/>
    <col min="8462" max="8463" width="18.7109375" style="2" bestFit="1" customWidth="1"/>
    <col min="8464" max="8464" width="16.5703125" style="2" customWidth="1"/>
    <col min="8465" max="8465" width="0.7109375" style="2" customWidth="1"/>
    <col min="8466" max="8467" width="19.85546875" style="2" bestFit="1" customWidth="1"/>
    <col min="8468" max="8468" width="18.7109375" style="2" bestFit="1" customWidth="1"/>
    <col min="8469" max="8469" width="14.5703125" style="2" customWidth="1"/>
    <col min="8470" max="8470" width="9.140625" style="2"/>
    <col min="8471" max="8471" width="13.140625" style="2" bestFit="1" customWidth="1"/>
    <col min="8472" max="8704" width="9.140625" style="2"/>
    <col min="8705" max="8708" width="2.7109375" style="2" customWidth="1"/>
    <col min="8709" max="8709" width="50.5703125" style="2" customWidth="1"/>
    <col min="8710" max="8711" width="19.28515625" style="2" customWidth="1"/>
    <col min="8712" max="8712" width="18.5703125" style="2" customWidth="1"/>
    <col min="8713" max="8713" width="0.7109375" style="2" customWidth="1"/>
    <col min="8714" max="8714" width="24" style="2" bestFit="1" customWidth="1"/>
    <col min="8715" max="8715" width="18.7109375" style="2" bestFit="1" customWidth="1"/>
    <col min="8716" max="8716" width="19.42578125" style="2" bestFit="1" customWidth="1"/>
    <col min="8717" max="8717" width="0.5703125" style="2" customWidth="1"/>
    <col min="8718" max="8719" width="18.7109375" style="2" bestFit="1" customWidth="1"/>
    <col min="8720" max="8720" width="16.5703125" style="2" customWidth="1"/>
    <col min="8721" max="8721" width="0.7109375" style="2" customWidth="1"/>
    <col min="8722" max="8723" width="19.85546875" style="2" bestFit="1" customWidth="1"/>
    <col min="8724" max="8724" width="18.7109375" style="2" bestFit="1" customWidth="1"/>
    <col min="8725" max="8725" width="14.5703125" style="2" customWidth="1"/>
    <col min="8726" max="8726" width="9.140625" style="2"/>
    <col min="8727" max="8727" width="13.140625" style="2" bestFit="1" customWidth="1"/>
    <col min="8728" max="8960" width="9.140625" style="2"/>
    <col min="8961" max="8964" width="2.7109375" style="2" customWidth="1"/>
    <col min="8965" max="8965" width="50.5703125" style="2" customWidth="1"/>
    <col min="8966" max="8967" width="19.28515625" style="2" customWidth="1"/>
    <col min="8968" max="8968" width="18.5703125" style="2" customWidth="1"/>
    <col min="8969" max="8969" width="0.7109375" style="2" customWidth="1"/>
    <col min="8970" max="8970" width="24" style="2" bestFit="1" customWidth="1"/>
    <col min="8971" max="8971" width="18.7109375" style="2" bestFit="1" customWidth="1"/>
    <col min="8972" max="8972" width="19.42578125" style="2" bestFit="1" customWidth="1"/>
    <col min="8973" max="8973" width="0.5703125" style="2" customWidth="1"/>
    <col min="8974" max="8975" width="18.7109375" style="2" bestFit="1" customWidth="1"/>
    <col min="8976" max="8976" width="16.5703125" style="2" customWidth="1"/>
    <col min="8977" max="8977" width="0.7109375" style="2" customWidth="1"/>
    <col min="8978" max="8979" width="19.85546875" style="2" bestFit="1" customWidth="1"/>
    <col min="8980" max="8980" width="18.7109375" style="2" bestFit="1" customWidth="1"/>
    <col min="8981" max="8981" width="14.5703125" style="2" customWidth="1"/>
    <col min="8982" max="8982" width="9.140625" style="2"/>
    <col min="8983" max="8983" width="13.140625" style="2" bestFit="1" customWidth="1"/>
    <col min="8984" max="9216" width="9.140625" style="2"/>
    <col min="9217" max="9220" width="2.7109375" style="2" customWidth="1"/>
    <col min="9221" max="9221" width="50.5703125" style="2" customWidth="1"/>
    <col min="9222" max="9223" width="19.28515625" style="2" customWidth="1"/>
    <col min="9224" max="9224" width="18.5703125" style="2" customWidth="1"/>
    <col min="9225" max="9225" width="0.7109375" style="2" customWidth="1"/>
    <col min="9226" max="9226" width="24" style="2" bestFit="1" customWidth="1"/>
    <col min="9227" max="9227" width="18.7109375" style="2" bestFit="1" customWidth="1"/>
    <col min="9228" max="9228" width="19.42578125" style="2" bestFit="1" customWidth="1"/>
    <col min="9229" max="9229" width="0.5703125" style="2" customWidth="1"/>
    <col min="9230" max="9231" width="18.7109375" style="2" bestFit="1" customWidth="1"/>
    <col min="9232" max="9232" width="16.5703125" style="2" customWidth="1"/>
    <col min="9233" max="9233" width="0.7109375" style="2" customWidth="1"/>
    <col min="9234" max="9235" width="19.85546875" style="2" bestFit="1" customWidth="1"/>
    <col min="9236" max="9236" width="18.7109375" style="2" bestFit="1" customWidth="1"/>
    <col min="9237" max="9237" width="14.5703125" style="2" customWidth="1"/>
    <col min="9238" max="9238" width="9.140625" style="2"/>
    <col min="9239" max="9239" width="13.140625" style="2" bestFit="1" customWidth="1"/>
    <col min="9240" max="9472" width="9.140625" style="2"/>
    <col min="9473" max="9476" width="2.7109375" style="2" customWidth="1"/>
    <col min="9477" max="9477" width="50.5703125" style="2" customWidth="1"/>
    <col min="9478" max="9479" width="19.28515625" style="2" customWidth="1"/>
    <col min="9480" max="9480" width="18.5703125" style="2" customWidth="1"/>
    <col min="9481" max="9481" width="0.7109375" style="2" customWidth="1"/>
    <col min="9482" max="9482" width="24" style="2" bestFit="1" customWidth="1"/>
    <col min="9483" max="9483" width="18.7109375" style="2" bestFit="1" customWidth="1"/>
    <col min="9484" max="9484" width="19.42578125" style="2" bestFit="1" customWidth="1"/>
    <col min="9485" max="9485" width="0.5703125" style="2" customWidth="1"/>
    <col min="9486" max="9487" width="18.7109375" style="2" bestFit="1" customWidth="1"/>
    <col min="9488" max="9488" width="16.5703125" style="2" customWidth="1"/>
    <col min="9489" max="9489" width="0.7109375" style="2" customWidth="1"/>
    <col min="9490" max="9491" width="19.85546875" style="2" bestFit="1" customWidth="1"/>
    <col min="9492" max="9492" width="18.7109375" style="2" bestFit="1" customWidth="1"/>
    <col min="9493" max="9493" width="14.5703125" style="2" customWidth="1"/>
    <col min="9494" max="9494" width="9.140625" style="2"/>
    <col min="9495" max="9495" width="13.140625" style="2" bestFit="1" customWidth="1"/>
    <col min="9496" max="9728" width="9.140625" style="2"/>
    <col min="9729" max="9732" width="2.7109375" style="2" customWidth="1"/>
    <col min="9733" max="9733" width="50.5703125" style="2" customWidth="1"/>
    <col min="9734" max="9735" width="19.28515625" style="2" customWidth="1"/>
    <col min="9736" max="9736" width="18.5703125" style="2" customWidth="1"/>
    <col min="9737" max="9737" width="0.7109375" style="2" customWidth="1"/>
    <col min="9738" max="9738" width="24" style="2" bestFit="1" customWidth="1"/>
    <col min="9739" max="9739" width="18.7109375" style="2" bestFit="1" customWidth="1"/>
    <col min="9740" max="9740" width="19.42578125" style="2" bestFit="1" customWidth="1"/>
    <col min="9741" max="9741" width="0.5703125" style="2" customWidth="1"/>
    <col min="9742" max="9743" width="18.7109375" style="2" bestFit="1" customWidth="1"/>
    <col min="9744" max="9744" width="16.5703125" style="2" customWidth="1"/>
    <col min="9745" max="9745" width="0.7109375" style="2" customWidth="1"/>
    <col min="9746" max="9747" width="19.85546875" style="2" bestFit="1" customWidth="1"/>
    <col min="9748" max="9748" width="18.7109375" style="2" bestFit="1" customWidth="1"/>
    <col min="9749" max="9749" width="14.5703125" style="2" customWidth="1"/>
    <col min="9750" max="9750" width="9.140625" style="2"/>
    <col min="9751" max="9751" width="13.140625" style="2" bestFit="1" customWidth="1"/>
    <col min="9752" max="9984" width="9.140625" style="2"/>
    <col min="9985" max="9988" width="2.7109375" style="2" customWidth="1"/>
    <col min="9989" max="9989" width="50.5703125" style="2" customWidth="1"/>
    <col min="9990" max="9991" width="19.28515625" style="2" customWidth="1"/>
    <col min="9992" max="9992" width="18.5703125" style="2" customWidth="1"/>
    <col min="9993" max="9993" width="0.7109375" style="2" customWidth="1"/>
    <col min="9994" max="9994" width="24" style="2" bestFit="1" customWidth="1"/>
    <col min="9995" max="9995" width="18.7109375" style="2" bestFit="1" customWidth="1"/>
    <col min="9996" max="9996" width="19.42578125" style="2" bestFit="1" customWidth="1"/>
    <col min="9997" max="9997" width="0.5703125" style="2" customWidth="1"/>
    <col min="9998" max="9999" width="18.7109375" style="2" bestFit="1" customWidth="1"/>
    <col min="10000" max="10000" width="16.5703125" style="2" customWidth="1"/>
    <col min="10001" max="10001" width="0.7109375" style="2" customWidth="1"/>
    <col min="10002" max="10003" width="19.85546875" style="2" bestFit="1" customWidth="1"/>
    <col min="10004" max="10004" width="18.7109375" style="2" bestFit="1" customWidth="1"/>
    <col min="10005" max="10005" width="14.5703125" style="2" customWidth="1"/>
    <col min="10006" max="10006" width="9.140625" style="2"/>
    <col min="10007" max="10007" width="13.140625" style="2" bestFit="1" customWidth="1"/>
    <col min="10008" max="10240" width="9.140625" style="2"/>
    <col min="10241" max="10244" width="2.7109375" style="2" customWidth="1"/>
    <col min="10245" max="10245" width="50.5703125" style="2" customWidth="1"/>
    <col min="10246" max="10247" width="19.28515625" style="2" customWidth="1"/>
    <col min="10248" max="10248" width="18.5703125" style="2" customWidth="1"/>
    <col min="10249" max="10249" width="0.7109375" style="2" customWidth="1"/>
    <col min="10250" max="10250" width="24" style="2" bestFit="1" customWidth="1"/>
    <col min="10251" max="10251" width="18.7109375" style="2" bestFit="1" customWidth="1"/>
    <col min="10252" max="10252" width="19.42578125" style="2" bestFit="1" customWidth="1"/>
    <col min="10253" max="10253" width="0.5703125" style="2" customWidth="1"/>
    <col min="10254" max="10255" width="18.7109375" style="2" bestFit="1" customWidth="1"/>
    <col min="10256" max="10256" width="16.5703125" style="2" customWidth="1"/>
    <col min="10257" max="10257" width="0.7109375" style="2" customWidth="1"/>
    <col min="10258" max="10259" width="19.85546875" style="2" bestFit="1" customWidth="1"/>
    <col min="10260" max="10260" width="18.7109375" style="2" bestFit="1" customWidth="1"/>
    <col min="10261" max="10261" width="14.5703125" style="2" customWidth="1"/>
    <col min="10262" max="10262" width="9.140625" style="2"/>
    <col min="10263" max="10263" width="13.140625" style="2" bestFit="1" customWidth="1"/>
    <col min="10264" max="10496" width="9.140625" style="2"/>
    <col min="10497" max="10500" width="2.7109375" style="2" customWidth="1"/>
    <col min="10501" max="10501" width="50.5703125" style="2" customWidth="1"/>
    <col min="10502" max="10503" width="19.28515625" style="2" customWidth="1"/>
    <col min="10504" max="10504" width="18.5703125" style="2" customWidth="1"/>
    <col min="10505" max="10505" width="0.7109375" style="2" customWidth="1"/>
    <col min="10506" max="10506" width="24" style="2" bestFit="1" customWidth="1"/>
    <col min="10507" max="10507" width="18.7109375" style="2" bestFit="1" customWidth="1"/>
    <col min="10508" max="10508" width="19.42578125" style="2" bestFit="1" customWidth="1"/>
    <col min="10509" max="10509" width="0.5703125" style="2" customWidth="1"/>
    <col min="10510" max="10511" width="18.7109375" style="2" bestFit="1" customWidth="1"/>
    <col min="10512" max="10512" width="16.5703125" style="2" customWidth="1"/>
    <col min="10513" max="10513" width="0.7109375" style="2" customWidth="1"/>
    <col min="10514" max="10515" width="19.85546875" style="2" bestFit="1" customWidth="1"/>
    <col min="10516" max="10516" width="18.7109375" style="2" bestFit="1" customWidth="1"/>
    <col min="10517" max="10517" width="14.5703125" style="2" customWidth="1"/>
    <col min="10518" max="10518" width="9.140625" style="2"/>
    <col min="10519" max="10519" width="13.140625" style="2" bestFit="1" customWidth="1"/>
    <col min="10520" max="10752" width="9.140625" style="2"/>
    <col min="10753" max="10756" width="2.7109375" style="2" customWidth="1"/>
    <col min="10757" max="10757" width="50.5703125" style="2" customWidth="1"/>
    <col min="10758" max="10759" width="19.28515625" style="2" customWidth="1"/>
    <col min="10760" max="10760" width="18.5703125" style="2" customWidth="1"/>
    <col min="10761" max="10761" width="0.7109375" style="2" customWidth="1"/>
    <col min="10762" max="10762" width="24" style="2" bestFit="1" customWidth="1"/>
    <col min="10763" max="10763" width="18.7109375" style="2" bestFit="1" customWidth="1"/>
    <col min="10764" max="10764" width="19.42578125" style="2" bestFit="1" customWidth="1"/>
    <col min="10765" max="10765" width="0.5703125" style="2" customWidth="1"/>
    <col min="10766" max="10767" width="18.7109375" style="2" bestFit="1" customWidth="1"/>
    <col min="10768" max="10768" width="16.5703125" style="2" customWidth="1"/>
    <col min="10769" max="10769" width="0.7109375" style="2" customWidth="1"/>
    <col min="10770" max="10771" width="19.85546875" style="2" bestFit="1" customWidth="1"/>
    <col min="10772" max="10772" width="18.7109375" style="2" bestFit="1" customWidth="1"/>
    <col min="10773" max="10773" width="14.5703125" style="2" customWidth="1"/>
    <col min="10774" max="10774" width="9.140625" style="2"/>
    <col min="10775" max="10775" width="13.140625" style="2" bestFit="1" customWidth="1"/>
    <col min="10776" max="11008" width="9.140625" style="2"/>
    <col min="11009" max="11012" width="2.7109375" style="2" customWidth="1"/>
    <col min="11013" max="11013" width="50.5703125" style="2" customWidth="1"/>
    <col min="11014" max="11015" width="19.28515625" style="2" customWidth="1"/>
    <col min="11016" max="11016" width="18.5703125" style="2" customWidth="1"/>
    <col min="11017" max="11017" width="0.7109375" style="2" customWidth="1"/>
    <col min="11018" max="11018" width="24" style="2" bestFit="1" customWidth="1"/>
    <col min="11019" max="11019" width="18.7109375" style="2" bestFit="1" customWidth="1"/>
    <col min="11020" max="11020" width="19.42578125" style="2" bestFit="1" customWidth="1"/>
    <col min="11021" max="11021" width="0.5703125" style="2" customWidth="1"/>
    <col min="11022" max="11023" width="18.7109375" style="2" bestFit="1" customWidth="1"/>
    <col min="11024" max="11024" width="16.5703125" style="2" customWidth="1"/>
    <col min="11025" max="11025" width="0.7109375" style="2" customWidth="1"/>
    <col min="11026" max="11027" width="19.85546875" style="2" bestFit="1" customWidth="1"/>
    <col min="11028" max="11028" width="18.7109375" style="2" bestFit="1" customWidth="1"/>
    <col min="11029" max="11029" width="14.5703125" style="2" customWidth="1"/>
    <col min="11030" max="11030" width="9.140625" style="2"/>
    <col min="11031" max="11031" width="13.140625" style="2" bestFit="1" customWidth="1"/>
    <col min="11032" max="11264" width="9.140625" style="2"/>
    <col min="11265" max="11268" width="2.7109375" style="2" customWidth="1"/>
    <col min="11269" max="11269" width="50.5703125" style="2" customWidth="1"/>
    <col min="11270" max="11271" width="19.28515625" style="2" customWidth="1"/>
    <col min="11272" max="11272" width="18.5703125" style="2" customWidth="1"/>
    <col min="11273" max="11273" width="0.7109375" style="2" customWidth="1"/>
    <col min="11274" max="11274" width="24" style="2" bestFit="1" customWidth="1"/>
    <col min="11275" max="11275" width="18.7109375" style="2" bestFit="1" customWidth="1"/>
    <col min="11276" max="11276" width="19.42578125" style="2" bestFit="1" customWidth="1"/>
    <col min="11277" max="11277" width="0.5703125" style="2" customWidth="1"/>
    <col min="11278" max="11279" width="18.7109375" style="2" bestFit="1" customWidth="1"/>
    <col min="11280" max="11280" width="16.5703125" style="2" customWidth="1"/>
    <col min="11281" max="11281" width="0.7109375" style="2" customWidth="1"/>
    <col min="11282" max="11283" width="19.85546875" style="2" bestFit="1" customWidth="1"/>
    <col min="11284" max="11284" width="18.7109375" style="2" bestFit="1" customWidth="1"/>
    <col min="11285" max="11285" width="14.5703125" style="2" customWidth="1"/>
    <col min="11286" max="11286" width="9.140625" style="2"/>
    <col min="11287" max="11287" width="13.140625" style="2" bestFit="1" customWidth="1"/>
    <col min="11288" max="11520" width="9.140625" style="2"/>
    <col min="11521" max="11524" width="2.7109375" style="2" customWidth="1"/>
    <col min="11525" max="11525" width="50.5703125" style="2" customWidth="1"/>
    <col min="11526" max="11527" width="19.28515625" style="2" customWidth="1"/>
    <col min="11528" max="11528" width="18.5703125" style="2" customWidth="1"/>
    <col min="11529" max="11529" width="0.7109375" style="2" customWidth="1"/>
    <col min="11530" max="11530" width="24" style="2" bestFit="1" customWidth="1"/>
    <col min="11531" max="11531" width="18.7109375" style="2" bestFit="1" customWidth="1"/>
    <col min="11532" max="11532" width="19.42578125" style="2" bestFit="1" customWidth="1"/>
    <col min="11533" max="11533" width="0.5703125" style="2" customWidth="1"/>
    <col min="11534" max="11535" width="18.7109375" style="2" bestFit="1" customWidth="1"/>
    <col min="11536" max="11536" width="16.5703125" style="2" customWidth="1"/>
    <col min="11537" max="11537" width="0.7109375" style="2" customWidth="1"/>
    <col min="11538" max="11539" width="19.85546875" style="2" bestFit="1" customWidth="1"/>
    <col min="11540" max="11540" width="18.7109375" style="2" bestFit="1" customWidth="1"/>
    <col min="11541" max="11541" width="14.5703125" style="2" customWidth="1"/>
    <col min="11542" max="11542" width="9.140625" style="2"/>
    <col min="11543" max="11543" width="13.140625" style="2" bestFit="1" customWidth="1"/>
    <col min="11544" max="11776" width="9.140625" style="2"/>
    <col min="11777" max="11780" width="2.7109375" style="2" customWidth="1"/>
    <col min="11781" max="11781" width="50.5703125" style="2" customWidth="1"/>
    <col min="11782" max="11783" width="19.28515625" style="2" customWidth="1"/>
    <col min="11784" max="11784" width="18.5703125" style="2" customWidth="1"/>
    <col min="11785" max="11785" width="0.7109375" style="2" customWidth="1"/>
    <col min="11786" max="11786" width="24" style="2" bestFit="1" customWidth="1"/>
    <col min="11787" max="11787" width="18.7109375" style="2" bestFit="1" customWidth="1"/>
    <col min="11788" max="11788" width="19.42578125" style="2" bestFit="1" customWidth="1"/>
    <col min="11789" max="11789" width="0.5703125" style="2" customWidth="1"/>
    <col min="11790" max="11791" width="18.7109375" style="2" bestFit="1" customWidth="1"/>
    <col min="11792" max="11792" width="16.5703125" style="2" customWidth="1"/>
    <col min="11793" max="11793" width="0.7109375" style="2" customWidth="1"/>
    <col min="11794" max="11795" width="19.85546875" style="2" bestFit="1" customWidth="1"/>
    <col min="11796" max="11796" width="18.7109375" style="2" bestFit="1" customWidth="1"/>
    <col min="11797" max="11797" width="14.5703125" style="2" customWidth="1"/>
    <col min="11798" max="11798" width="9.140625" style="2"/>
    <col min="11799" max="11799" width="13.140625" style="2" bestFit="1" customWidth="1"/>
    <col min="11800" max="12032" width="9.140625" style="2"/>
    <col min="12033" max="12036" width="2.7109375" style="2" customWidth="1"/>
    <col min="12037" max="12037" width="50.5703125" style="2" customWidth="1"/>
    <col min="12038" max="12039" width="19.28515625" style="2" customWidth="1"/>
    <col min="12040" max="12040" width="18.5703125" style="2" customWidth="1"/>
    <col min="12041" max="12041" width="0.7109375" style="2" customWidth="1"/>
    <col min="12042" max="12042" width="24" style="2" bestFit="1" customWidth="1"/>
    <col min="12043" max="12043" width="18.7109375" style="2" bestFit="1" customWidth="1"/>
    <col min="12044" max="12044" width="19.42578125" style="2" bestFit="1" customWidth="1"/>
    <col min="12045" max="12045" width="0.5703125" style="2" customWidth="1"/>
    <col min="12046" max="12047" width="18.7109375" style="2" bestFit="1" customWidth="1"/>
    <col min="12048" max="12048" width="16.5703125" style="2" customWidth="1"/>
    <col min="12049" max="12049" width="0.7109375" style="2" customWidth="1"/>
    <col min="12050" max="12051" width="19.85546875" style="2" bestFit="1" customWidth="1"/>
    <col min="12052" max="12052" width="18.7109375" style="2" bestFit="1" customWidth="1"/>
    <col min="12053" max="12053" width="14.5703125" style="2" customWidth="1"/>
    <col min="12054" max="12054" width="9.140625" style="2"/>
    <col min="12055" max="12055" width="13.140625" style="2" bestFit="1" customWidth="1"/>
    <col min="12056" max="12288" width="9.140625" style="2"/>
    <col min="12289" max="12292" width="2.7109375" style="2" customWidth="1"/>
    <col min="12293" max="12293" width="50.5703125" style="2" customWidth="1"/>
    <col min="12294" max="12295" width="19.28515625" style="2" customWidth="1"/>
    <col min="12296" max="12296" width="18.5703125" style="2" customWidth="1"/>
    <col min="12297" max="12297" width="0.7109375" style="2" customWidth="1"/>
    <col min="12298" max="12298" width="24" style="2" bestFit="1" customWidth="1"/>
    <col min="12299" max="12299" width="18.7109375" style="2" bestFit="1" customWidth="1"/>
    <col min="12300" max="12300" width="19.42578125" style="2" bestFit="1" customWidth="1"/>
    <col min="12301" max="12301" width="0.5703125" style="2" customWidth="1"/>
    <col min="12302" max="12303" width="18.7109375" style="2" bestFit="1" customWidth="1"/>
    <col min="12304" max="12304" width="16.5703125" style="2" customWidth="1"/>
    <col min="12305" max="12305" width="0.7109375" style="2" customWidth="1"/>
    <col min="12306" max="12307" width="19.85546875" style="2" bestFit="1" customWidth="1"/>
    <col min="12308" max="12308" width="18.7109375" style="2" bestFit="1" customWidth="1"/>
    <col min="12309" max="12309" width="14.5703125" style="2" customWidth="1"/>
    <col min="12310" max="12310" width="9.140625" style="2"/>
    <col min="12311" max="12311" width="13.140625" style="2" bestFit="1" customWidth="1"/>
    <col min="12312" max="12544" width="9.140625" style="2"/>
    <col min="12545" max="12548" width="2.7109375" style="2" customWidth="1"/>
    <col min="12549" max="12549" width="50.5703125" style="2" customWidth="1"/>
    <col min="12550" max="12551" width="19.28515625" style="2" customWidth="1"/>
    <col min="12552" max="12552" width="18.5703125" style="2" customWidth="1"/>
    <col min="12553" max="12553" width="0.7109375" style="2" customWidth="1"/>
    <col min="12554" max="12554" width="24" style="2" bestFit="1" customWidth="1"/>
    <col min="12555" max="12555" width="18.7109375" style="2" bestFit="1" customWidth="1"/>
    <col min="12556" max="12556" width="19.42578125" style="2" bestFit="1" customWidth="1"/>
    <col min="12557" max="12557" width="0.5703125" style="2" customWidth="1"/>
    <col min="12558" max="12559" width="18.7109375" style="2" bestFit="1" customWidth="1"/>
    <col min="12560" max="12560" width="16.5703125" style="2" customWidth="1"/>
    <col min="12561" max="12561" width="0.7109375" style="2" customWidth="1"/>
    <col min="12562" max="12563" width="19.85546875" style="2" bestFit="1" customWidth="1"/>
    <col min="12564" max="12564" width="18.7109375" style="2" bestFit="1" customWidth="1"/>
    <col min="12565" max="12565" width="14.5703125" style="2" customWidth="1"/>
    <col min="12566" max="12566" width="9.140625" style="2"/>
    <col min="12567" max="12567" width="13.140625" style="2" bestFit="1" customWidth="1"/>
    <col min="12568" max="12800" width="9.140625" style="2"/>
    <col min="12801" max="12804" width="2.7109375" style="2" customWidth="1"/>
    <col min="12805" max="12805" width="50.5703125" style="2" customWidth="1"/>
    <col min="12806" max="12807" width="19.28515625" style="2" customWidth="1"/>
    <col min="12808" max="12808" width="18.5703125" style="2" customWidth="1"/>
    <col min="12809" max="12809" width="0.7109375" style="2" customWidth="1"/>
    <col min="12810" max="12810" width="24" style="2" bestFit="1" customWidth="1"/>
    <col min="12811" max="12811" width="18.7109375" style="2" bestFit="1" customWidth="1"/>
    <col min="12812" max="12812" width="19.42578125" style="2" bestFit="1" customWidth="1"/>
    <col min="12813" max="12813" width="0.5703125" style="2" customWidth="1"/>
    <col min="12814" max="12815" width="18.7109375" style="2" bestFit="1" customWidth="1"/>
    <col min="12816" max="12816" width="16.5703125" style="2" customWidth="1"/>
    <col min="12817" max="12817" width="0.7109375" style="2" customWidth="1"/>
    <col min="12818" max="12819" width="19.85546875" style="2" bestFit="1" customWidth="1"/>
    <col min="12820" max="12820" width="18.7109375" style="2" bestFit="1" customWidth="1"/>
    <col min="12821" max="12821" width="14.5703125" style="2" customWidth="1"/>
    <col min="12822" max="12822" width="9.140625" style="2"/>
    <col min="12823" max="12823" width="13.140625" style="2" bestFit="1" customWidth="1"/>
    <col min="12824" max="13056" width="9.140625" style="2"/>
    <col min="13057" max="13060" width="2.7109375" style="2" customWidth="1"/>
    <col min="13061" max="13061" width="50.5703125" style="2" customWidth="1"/>
    <col min="13062" max="13063" width="19.28515625" style="2" customWidth="1"/>
    <col min="13064" max="13064" width="18.5703125" style="2" customWidth="1"/>
    <col min="13065" max="13065" width="0.7109375" style="2" customWidth="1"/>
    <col min="13066" max="13066" width="24" style="2" bestFit="1" customWidth="1"/>
    <col min="13067" max="13067" width="18.7109375" style="2" bestFit="1" customWidth="1"/>
    <col min="13068" max="13068" width="19.42578125" style="2" bestFit="1" customWidth="1"/>
    <col min="13069" max="13069" width="0.5703125" style="2" customWidth="1"/>
    <col min="13070" max="13071" width="18.7109375" style="2" bestFit="1" customWidth="1"/>
    <col min="13072" max="13072" width="16.5703125" style="2" customWidth="1"/>
    <col min="13073" max="13073" width="0.7109375" style="2" customWidth="1"/>
    <col min="13074" max="13075" width="19.85546875" style="2" bestFit="1" customWidth="1"/>
    <col min="13076" max="13076" width="18.7109375" style="2" bestFit="1" customWidth="1"/>
    <col min="13077" max="13077" width="14.5703125" style="2" customWidth="1"/>
    <col min="13078" max="13078" width="9.140625" style="2"/>
    <col min="13079" max="13079" width="13.140625" style="2" bestFit="1" customWidth="1"/>
    <col min="13080" max="13312" width="9.140625" style="2"/>
    <col min="13313" max="13316" width="2.7109375" style="2" customWidth="1"/>
    <col min="13317" max="13317" width="50.5703125" style="2" customWidth="1"/>
    <col min="13318" max="13319" width="19.28515625" style="2" customWidth="1"/>
    <col min="13320" max="13320" width="18.5703125" style="2" customWidth="1"/>
    <col min="13321" max="13321" width="0.7109375" style="2" customWidth="1"/>
    <col min="13322" max="13322" width="24" style="2" bestFit="1" customWidth="1"/>
    <col min="13323" max="13323" width="18.7109375" style="2" bestFit="1" customWidth="1"/>
    <col min="13324" max="13324" width="19.42578125" style="2" bestFit="1" customWidth="1"/>
    <col min="13325" max="13325" width="0.5703125" style="2" customWidth="1"/>
    <col min="13326" max="13327" width="18.7109375" style="2" bestFit="1" customWidth="1"/>
    <col min="13328" max="13328" width="16.5703125" style="2" customWidth="1"/>
    <col min="13329" max="13329" width="0.7109375" style="2" customWidth="1"/>
    <col min="13330" max="13331" width="19.85546875" style="2" bestFit="1" customWidth="1"/>
    <col min="13332" max="13332" width="18.7109375" style="2" bestFit="1" customWidth="1"/>
    <col min="13333" max="13333" width="14.5703125" style="2" customWidth="1"/>
    <col min="13334" max="13334" width="9.140625" style="2"/>
    <col min="13335" max="13335" width="13.140625" style="2" bestFit="1" customWidth="1"/>
    <col min="13336" max="13568" width="9.140625" style="2"/>
    <col min="13569" max="13572" width="2.7109375" style="2" customWidth="1"/>
    <col min="13573" max="13573" width="50.5703125" style="2" customWidth="1"/>
    <col min="13574" max="13575" width="19.28515625" style="2" customWidth="1"/>
    <col min="13576" max="13576" width="18.5703125" style="2" customWidth="1"/>
    <col min="13577" max="13577" width="0.7109375" style="2" customWidth="1"/>
    <col min="13578" max="13578" width="24" style="2" bestFit="1" customWidth="1"/>
    <col min="13579" max="13579" width="18.7109375" style="2" bestFit="1" customWidth="1"/>
    <col min="13580" max="13580" width="19.42578125" style="2" bestFit="1" customWidth="1"/>
    <col min="13581" max="13581" width="0.5703125" style="2" customWidth="1"/>
    <col min="13582" max="13583" width="18.7109375" style="2" bestFit="1" customWidth="1"/>
    <col min="13584" max="13584" width="16.5703125" style="2" customWidth="1"/>
    <col min="13585" max="13585" width="0.7109375" style="2" customWidth="1"/>
    <col min="13586" max="13587" width="19.85546875" style="2" bestFit="1" customWidth="1"/>
    <col min="13588" max="13588" width="18.7109375" style="2" bestFit="1" customWidth="1"/>
    <col min="13589" max="13589" width="14.5703125" style="2" customWidth="1"/>
    <col min="13590" max="13590" width="9.140625" style="2"/>
    <col min="13591" max="13591" width="13.140625" style="2" bestFit="1" customWidth="1"/>
    <col min="13592" max="13824" width="9.140625" style="2"/>
    <col min="13825" max="13828" width="2.7109375" style="2" customWidth="1"/>
    <col min="13829" max="13829" width="50.5703125" style="2" customWidth="1"/>
    <col min="13830" max="13831" width="19.28515625" style="2" customWidth="1"/>
    <col min="13832" max="13832" width="18.5703125" style="2" customWidth="1"/>
    <col min="13833" max="13833" width="0.7109375" style="2" customWidth="1"/>
    <col min="13834" max="13834" width="24" style="2" bestFit="1" customWidth="1"/>
    <col min="13835" max="13835" width="18.7109375" style="2" bestFit="1" customWidth="1"/>
    <col min="13836" max="13836" width="19.42578125" style="2" bestFit="1" customWidth="1"/>
    <col min="13837" max="13837" width="0.5703125" style="2" customWidth="1"/>
    <col min="13838" max="13839" width="18.7109375" style="2" bestFit="1" customWidth="1"/>
    <col min="13840" max="13840" width="16.5703125" style="2" customWidth="1"/>
    <col min="13841" max="13841" width="0.7109375" style="2" customWidth="1"/>
    <col min="13842" max="13843" width="19.85546875" style="2" bestFit="1" customWidth="1"/>
    <col min="13844" max="13844" width="18.7109375" style="2" bestFit="1" customWidth="1"/>
    <col min="13845" max="13845" width="14.5703125" style="2" customWidth="1"/>
    <col min="13846" max="13846" width="9.140625" style="2"/>
    <col min="13847" max="13847" width="13.140625" style="2" bestFit="1" customWidth="1"/>
    <col min="13848" max="14080" width="9.140625" style="2"/>
    <col min="14081" max="14084" width="2.7109375" style="2" customWidth="1"/>
    <col min="14085" max="14085" width="50.5703125" style="2" customWidth="1"/>
    <col min="14086" max="14087" width="19.28515625" style="2" customWidth="1"/>
    <col min="14088" max="14088" width="18.5703125" style="2" customWidth="1"/>
    <col min="14089" max="14089" width="0.7109375" style="2" customWidth="1"/>
    <col min="14090" max="14090" width="24" style="2" bestFit="1" customWidth="1"/>
    <col min="14091" max="14091" width="18.7109375" style="2" bestFit="1" customWidth="1"/>
    <col min="14092" max="14092" width="19.42578125" style="2" bestFit="1" customWidth="1"/>
    <col min="14093" max="14093" width="0.5703125" style="2" customWidth="1"/>
    <col min="14094" max="14095" width="18.7109375" style="2" bestFit="1" customWidth="1"/>
    <col min="14096" max="14096" width="16.5703125" style="2" customWidth="1"/>
    <col min="14097" max="14097" width="0.7109375" style="2" customWidth="1"/>
    <col min="14098" max="14099" width="19.85546875" style="2" bestFit="1" customWidth="1"/>
    <col min="14100" max="14100" width="18.7109375" style="2" bestFit="1" customWidth="1"/>
    <col min="14101" max="14101" width="14.5703125" style="2" customWidth="1"/>
    <col min="14102" max="14102" width="9.140625" style="2"/>
    <col min="14103" max="14103" width="13.140625" style="2" bestFit="1" customWidth="1"/>
    <col min="14104" max="14336" width="9.140625" style="2"/>
    <col min="14337" max="14340" width="2.7109375" style="2" customWidth="1"/>
    <col min="14341" max="14341" width="50.5703125" style="2" customWidth="1"/>
    <col min="14342" max="14343" width="19.28515625" style="2" customWidth="1"/>
    <col min="14344" max="14344" width="18.5703125" style="2" customWidth="1"/>
    <col min="14345" max="14345" width="0.7109375" style="2" customWidth="1"/>
    <col min="14346" max="14346" width="24" style="2" bestFit="1" customWidth="1"/>
    <col min="14347" max="14347" width="18.7109375" style="2" bestFit="1" customWidth="1"/>
    <col min="14348" max="14348" width="19.42578125" style="2" bestFit="1" customWidth="1"/>
    <col min="14349" max="14349" width="0.5703125" style="2" customWidth="1"/>
    <col min="14350" max="14351" width="18.7109375" style="2" bestFit="1" customWidth="1"/>
    <col min="14352" max="14352" width="16.5703125" style="2" customWidth="1"/>
    <col min="14353" max="14353" width="0.7109375" style="2" customWidth="1"/>
    <col min="14354" max="14355" width="19.85546875" style="2" bestFit="1" customWidth="1"/>
    <col min="14356" max="14356" width="18.7109375" style="2" bestFit="1" customWidth="1"/>
    <col min="14357" max="14357" width="14.5703125" style="2" customWidth="1"/>
    <col min="14358" max="14358" width="9.140625" style="2"/>
    <col min="14359" max="14359" width="13.140625" style="2" bestFit="1" customWidth="1"/>
    <col min="14360" max="14592" width="9.140625" style="2"/>
    <col min="14593" max="14596" width="2.7109375" style="2" customWidth="1"/>
    <col min="14597" max="14597" width="50.5703125" style="2" customWidth="1"/>
    <col min="14598" max="14599" width="19.28515625" style="2" customWidth="1"/>
    <col min="14600" max="14600" width="18.5703125" style="2" customWidth="1"/>
    <col min="14601" max="14601" width="0.7109375" style="2" customWidth="1"/>
    <col min="14602" max="14602" width="24" style="2" bestFit="1" customWidth="1"/>
    <col min="14603" max="14603" width="18.7109375" style="2" bestFit="1" customWidth="1"/>
    <col min="14604" max="14604" width="19.42578125" style="2" bestFit="1" customWidth="1"/>
    <col min="14605" max="14605" width="0.5703125" style="2" customWidth="1"/>
    <col min="14606" max="14607" width="18.7109375" style="2" bestFit="1" customWidth="1"/>
    <col min="14608" max="14608" width="16.5703125" style="2" customWidth="1"/>
    <col min="14609" max="14609" width="0.7109375" style="2" customWidth="1"/>
    <col min="14610" max="14611" width="19.85546875" style="2" bestFit="1" customWidth="1"/>
    <col min="14612" max="14612" width="18.7109375" style="2" bestFit="1" customWidth="1"/>
    <col min="14613" max="14613" width="14.5703125" style="2" customWidth="1"/>
    <col min="14614" max="14614" width="9.140625" style="2"/>
    <col min="14615" max="14615" width="13.140625" style="2" bestFit="1" customWidth="1"/>
    <col min="14616" max="14848" width="9.140625" style="2"/>
    <col min="14849" max="14852" width="2.7109375" style="2" customWidth="1"/>
    <col min="14853" max="14853" width="50.5703125" style="2" customWidth="1"/>
    <col min="14854" max="14855" width="19.28515625" style="2" customWidth="1"/>
    <col min="14856" max="14856" width="18.5703125" style="2" customWidth="1"/>
    <col min="14857" max="14857" width="0.7109375" style="2" customWidth="1"/>
    <col min="14858" max="14858" width="24" style="2" bestFit="1" customWidth="1"/>
    <col min="14859" max="14859" width="18.7109375" style="2" bestFit="1" customWidth="1"/>
    <col min="14860" max="14860" width="19.42578125" style="2" bestFit="1" customWidth="1"/>
    <col min="14861" max="14861" width="0.5703125" style="2" customWidth="1"/>
    <col min="14862" max="14863" width="18.7109375" style="2" bestFit="1" customWidth="1"/>
    <col min="14864" max="14864" width="16.5703125" style="2" customWidth="1"/>
    <col min="14865" max="14865" width="0.7109375" style="2" customWidth="1"/>
    <col min="14866" max="14867" width="19.85546875" style="2" bestFit="1" customWidth="1"/>
    <col min="14868" max="14868" width="18.7109375" style="2" bestFit="1" customWidth="1"/>
    <col min="14869" max="14869" width="14.5703125" style="2" customWidth="1"/>
    <col min="14870" max="14870" width="9.140625" style="2"/>
    <col min="14871" max="14871" width="13.140625" style="2" bestFit="1" customWidth="1"/>
    <col min="14872" max="15104" width="9.140625" style="2"/>
    <col min="15105" max="15108" width="2.7109375" style="2" customWidth="1"/>
    <col min="15109" max="15109" width="50.5703125" style="2" customWidth="1"/>
    <col min="15110" max="15111" width="19.28515625" style="2" customWidth="1"/>
    <col min="15112" max="15112" width="18.5703125" style="2" customWidth="1"/>
    <col min="15113" max="15113" width="0.7109375" style="2" customWidth="1"/>
    <col min="15114" max="15114" width="24" style="2" bestFit="1" customWidth="1"/>
    <col min="15115" max="15115" width="18.7109375" style="2" bestFit="1" customWidth="1"/>
    <col min="15116" max="15116" width="19.42578125" style="2" bestFit="1" customWidth="1"/>
    <col min="15117" max="15117" width="0.5703125" style="2" customWidth="1"/>
    <col min="15118" max="15119" width="18.7109375" style="2" bestFit="1" customWidth="1"/>
    <col min="15120" max="15120" width="16.5703125" style="2" customWidth="1"/>
    <col min="15121" max="15121" width="0.7109375" style="2" customWidth="1"/>
    <col min="15122" max="15123" width="19.85546875" style="2" bestFit="1" customWidth="1"/>
    <col min="15124" max="15124" width="18.7109375" style="2" bestFit="1" customWidth="1"/>
    <col min="15125" max="15125" width="14.5703125" style="2" customWidth="1"/>
    <col min="15126" max="15126" width="9.140625" style="2"/>
    <col min="15127" max="15127" width="13.140625" style="2" bestFit="1" customWidth="1"/>
    <col min="15128" max="15360" width="9.140625" style="2"/>
    <col min="15361" max="15364" width="2.7109375" style="2" customWidth="1"/>
    <col min="15365" max="15365" width="50.5703125" style="2" customWidth="1"/>
    <col min="15366" max="15367" width="19.28515625" style="2" customWidth="1"/>
    <col min="15368" max="15368" width="18.5703125" style="2" customWidth="1"/>
    <col min="15369" max="15369" width="0.7109375" style="2" customWidth="1"/>
    <col min="15370" max="15370" width="24" style="2" bestFit="1" customWidth="1"/>
    <col min="15371" max="15371" width="18.7109375" style="2" bestFit="1" customWidth="1"/>
    <col min="15372" max="15372" width="19.42578125" style="2" bestFit="1" customWidth="1"/>
    <col min="15373" max="15373" width="0.5703125" style="2" customWidth="1"/>
    <col min="15374" max="15375" width="18.7109375" style="2" bestFit="1" customWidth="1"/>
    <col min="15376" max="15376" width="16.5703125" style="2" customWidth="1"/>
    <col min="15377" max="15377" width="0.7109375" style="2" customWidth="1"/>
    <col min="15378" max="15379" width="19.85546875" style="2" bestFit="1" customWidth="1"/>
    <col min="15380" max="15380" width="18.7109375" style="2" bestFit="1" customWidth="1"/>
    <col min="15381" max="15381" width="14.5703125" style="2" customWidth="1"/>
    <col min="15382" max="15382" width="9.140625" style="2"/>
    <col min="15383" max="15383" width="13.140625" style="2" bestFit="1" customWidth="1"/>
    <col min="15384" max="15616" width="9.140625" style="2"/>
    <col min="15617" max="15620" width="2.7109375" style="2" customWidth="1"/>
    <col min="15621" max="15621" width="50.5703125" style="2" customWidth="1"/>
    <col min="15622" max="15623" width="19.28515625" style="2" customWidth="1"/>
    <col min="15624" max="15624" width="18.5703125" style="2" customWidth="1"/>
    <col min="15625" max="15625" width="0.7109375" style="2" customWidth="1"/>
    <col min="15626" max="15626" width="24" style="2" bestFit="1" customWidth="1"/>
    <col min="15627" max="15627" width="18.7109375" style="2" bestFit="1" customWidth="1"/>
    <col min="15628" max="15628" width="19.42578125" style="2" bestFit="1" customWidth="1"/>
    <col min="15629" max="15629" width="0.5703125" style="2" customWidth="1"/>
    <col min="15630" max="15631" width="18.7109375" style="2" bestFit="1" customWidth="1"/>
    <col min="15632" max="15632" width="16.5703125" style="2" customWidth="1"/>
    <col min="15633" max="15633" width="0.7109375" style="2" customWidth="1"/>
    <col min="15634" max="15635" width="19.85546875" style="2" bestFit="1" customWidth="1"/>
    <col min="15636" max="15636" width="18.7109375" style="2" bestFit="1" customWidth="1"/>
    <col min="15637" max="15637" width="14.5703125" style="2" customWidth="1"/>
    <col min="15638" max="15638" width="9.140625" style="2"/>
    <col min="15639" max="15639" width="13.140625" style="2" bestFit="1" customWidth="1"/>
    <col min="15640" max="15872" width="9.140625" style="2"/>
    <col min="15873" max="15876" width="2.7109375" style="2" customWidth="1"/>
    <col min="15877" max="15877" width="50.5703125" style="2" customWidth="1"/>
    <col min="15878" max="15879" width="19.28515625" style="2" customWidth="1"/>
    <col min="15880" max="15880" width="18.5703125" style="2" customWidth="1"/>
    <col min="15881" max="15881" width="0.7109375" style="2" customWidth="1"/>
    <col min="15882" max="15882" width="24" style="2" bestFit="1" customWidth="1"/>
    <col min="15883" max="15883" width="18.7109375" style="2" bestFit="1" customWidth="1"/>
    <col min="15884" max="15884" width="19.42578125" style="2" bestFit="1" customWidth="1"/>
    <col min="15885" max="15885" width="0.5703125" style="2" customWidth="1"/>
    <col min="15886" max="15887" width="18.7109375" style="2" bestFit="1" customWidth="1"/>
    <col min="15888" max="15888" width="16.5703125" style="2" customWidth="1"/>
    <col min="15889" max="15889" width="0.7109375" style="2" customWidth="1"/>
    <col min="15890" max="15891" width="19.85546875" style="2" bestFit="1" customWidth="1"/>
    <col min="15892" max="15892" width="18.7109375" style="2" bestFit="1" customWidth="1"/>
    <col min="15893" max="15893" width="14.5703125" style="2" customWidth="1"/>
    <col min="15894" max="15894" width="9.140625" style="2"/>
    <col min="15895" max="15895" width="13.140625" style="2" bestFit="1" customWidth="1"/>
    <col min="15896" max="16128" width="9.140625" style="2"/>
    <col min="16129" max="16132" width="2.7109375" style="2" customWidth="1"/>
    <col min="16133" max="16133" width="50.5703125" style="2" customWidth="1"/>
    <col min="16134" max="16135" width="19.28515625" style="2" customWidth="1"/>
    <col min="16136" max="16136" width="18.5703125" style="2" customWidth="1"/>
    <col min="16137" max="16137" width="0.7109375" style="2" customWidth="1"/>
    <col min="16138" max="16138" width="24" style="2" bestFit="1" customWidth="1"/>
    <col min="16139" max="16139" width="18.7109375" style="2" bestFit="1" customWidth="1"/>
    <col min="16140" max="16140" width="19.42578125" style="2" bestFit="1" customWidth="1"/>
    <col min="16141" max="16141" width="0.5703125" style="2" customWidth="1"/>
    <col min="16142" max="16143" width="18.7109375" style="2" bestFit="1" customWidth="1"/>
    <col min="16144" max="16144" width="16.5703125" style="2" customWidth="1"/>
    <col min="16145" max="16145" width="0.7109375" style="2" customWidth="1"/>
    <col min="16146" max="16147" width="19.85546875" style="2" bestFit="1" customWidth="1"/>
    <col min="16148" max="16148" width="18.7109375" style="2" bestFit="1" customWidth="1"/>
    <col min="16149" max="16149" width="14.5703125" style="2" customWidth="1"/>
    <col min="16150" max="16150" width="9.140625" style="2"/>
    <col min="16151" max="16151" width="13.140625" style="2" bestFit="1" customWidth="1"/>
    <col min="16152" max="16384" width="9.140625" style="2"/>
  </cols>
  <sheetData>
    <row r="1" spans="2:21" ht="18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2:21" ht="20.25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21" ht="18">
      <c r="B3" s="131" t="s">
        <v>184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1" ht="21" thickBo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2:21" ht="24.95" customHeight="1">
      <c r="B5" s="134" t="s">
        <v>3</v>
      </c>
      <c r="C5" s="135"/>
      <c r="D5" s="135"/>
      <c r="E5" s="136"/>
      <c r="F5" s="140" t="s">
        <v>4</v>
      </c>
      <c r="G5" s="141"/>
      <c r="H5" s="142"/>
      <c r="I5" s="3"/>
      <c r="J5" s="140" t="s">
        <v>5</v>
      </c>
      <c r="K5" s="141"/>
      <c r="L5" s="142"/>
      <c r="M5" s="4"/>
      <c r="N5" s="140" t="s">
        <v>6</v>
      </c>
      <c r="O5" s="141"/>
      <c r="P5" s="142"/>
      <c r="Q5" s="3"/>
      <c r="R5" s="140" t="s">
        <v>7</v>
      </c>
      <c r="S5" s="141"/>
      <c r="T5" s="143"/>
      <c r="U5" s="127" t="s">
        <v>8</v>
      </c>
    </row>
    <row r="6" spans="2:21" s="8" customFormat="1" ht="28.5" customHeight="1" thickBot="1">
      <c r="B6" s="137"/>
      <c r="C6" s="138"/>
      <c r="D6" s="138"/>
      <c r="E6" s="139"/>
      <c r="F6" s="5" t="s">
        <v>9</v>
      </c>
      <c r="G6" s="6" t="s">
        <v>10</v>
      </c>
      <c r="H6" s="5" t="s">
        <v>11</v>
      </c>
      <c r="I6" s="6"/>
      <c r="J6" s="5" t="s">
        <v>12</v>
      </c>
      <c r="K6" s="6" t="s">
        <v>10</v>
      </c>
      <c r="L6" s="5" t="s">
        <v>11</v>
      </c>
      <c r="M6" s="5"/>
      <c r="N6" s="5" t="s">
        <v>9</v>
      </c>
      <c r="O6" s="6" t="s">
        <v>10</v>
      </c>
      <c r="P6" s="5" t="s">
        <v>11</v>
      </c>
      <c r="Q6" s="5"/>
      <c r="R6" s="6" t="s">
        <v>13</v>
      </c>
      <c r="S6" s="6" t="s">
        <v>10</v>
      </c>
      <c r="T6" s="7" t="s">
        <v>11</v>
      </c>
      <c r="U6" s="128"/>
    </row>
    <row r="7" spans="2:21" ht="24.95" customHeight="1">
      <c r="B7" s="9"/>
      <c r="C7" s="10"/>
      <c r="D7" s="10"/>
      <c r="E7" s="11"/>
      <c r="F7" s="12"/>
      <c r="G7" s="12"/>
      <c r="H7" s="12"/>
      <c r="I7" s="13"/>
      <c r="J7" s="12"/>
      <c r="K7" s="12"/>
      <c r="L7" s="12"/>
      <c r="M7" s="12"/>
      <c r="N7" s="12"/>
      <c r="O7" s="12"/>
      <c r="P7" s="12"/>
      <c r="Q7" s="13"/>
      <c r="R7" s="12"/>
      <c r="S7" s="12"/>
      <c r="T7" s="14"/>
      <c r="U7" s="15"/>
    </row>
    <row r="8" spans="2:21" ht="24.95" customHeight="1">
      <c r="B8" s="9" t="s">
        <v>14</v>
      </c>
      <c r="C8" s="10"/>
      <c r="D8" s="10"/>
      <c r="E8" s="11"/>
      <c r="F8" s="12">
        <f>1559377000+229960500+213649.54-413866869.55</f>
        <v>1375684279.99</v>
      </c>
      <c r="G8" s="12">
        <v>2362981795.8899999</v>
      </c>
      <c r="H8" s="12">
        <f>+F8-G8</f>
        <v>-987297515.89999986</v>
      </c>
      <c r="I8" s="13"/>
      <c r="J8" s="12"/>
      <c r="K8" s="12"/>
      <c r="L8" s="12">
        <f>+J8-K8</f>
        <v>0</v>
      </c>
      <c r="M8" s="12"/>
      <c r="N8" s="12">
        <f>14680355.58-11534979</f>
        <v>3145376.58</v>
      </c>
      <c r="O8" s="12">
        <v>2497817.46</v>
      </c>
      <c r="P8" s="12">
        <f>+N8-O8</f>
        <v>647559.12000000011</v>
      </c>
      <c r="Q8" s="16"/>
      <c r="R8" s="12">
        <f>+F8+J8+N8</f>
        <v>1378829656.5699999</v>
      </c>
      <c r="S8" s="12">
        <f>+G8+K8+O8</f>
        <v>2365479613.3499999</v>
      </c>
      <c r="T8" s="14">
        <f>+R8-S8</f>
        <v>-986649956.77999997</v>
      </c>
      <c r="U8" s="17">
        <f>+S8/R8</f>
        <v>1.715570594292559</v>
      </c>
    </row>
    <row r="9" spans="2:21" ht="24.95" customHeight="1">
      <c r="B9" s="18"/>
      <c r="C9" s="10"/>
      <c r="D9" s="10"/>
      <c r="E9" s="19"/>
      <c r="F9" s="12"/>
      <c r="G9" s="12"/>
      <c r="H9" s="12">
        <f>+F9-G9</f>
        <v>0</v>
      </c>
      <c r="I9" s="13"/>
      <c r="J9" s="12"/>
      <c r="K9" s="12"/>
      <c r="L9" s="12">
        <f>+J9-K9</f>
        <v>0</v>
      </c>
      <c r="M9" s="12"/>
      <c r="N9" s="12"/>
      <c r="O9" s="12"/>
      <c r="P9" s="12">
        <f>+N9-O9</f>
        <v>0</v>
      </c>
      <c r="Q9" s="13"/>
      <c r="R9" s="12"/>
      <c r="S9" s="12"/>
      <c r="T9" s="14"/>
      <c r="U9" s="17"/>
    </row>
    <row r="10" spans="2:21" ht="24.95" customHeight="1">
      <c r="B10" s="9" t="s">
        <v>15</v>
      </c>
      <c r="C10" s="10"/>
      <c r="D10" s="10"/>
      <c r="E10" s="11"/>
      <c r="F10" s="12"/>
      <c r="G10" s="12"/>
      <c r="H10" s="12"/>
      <c r="I10" s="13"/>
      <c r="J10" s="12"/>
      <c r="K10" s="12"/>
      <c r="L10" s="12"/>
      <c r="M10" s="12"/>
      <c r="N10" s="12"/>
      <c r="O10" s="12"/>
      <c r="P10" s="12"/>
      <c r="Q10" s="13"/>
      <c r="R10" s="12"/>
      <c r="S10" s="12"/>
      <c r="T10" s="14"/>
      <c r="U10" s="17"/>
    </row>
    <row r="11" spans="2:21" ht="30" customHeight="1">
      <c r="B11" s="9"/>
      <c r="C11" s="129" t="s">
        <v>16</v>
      </c>
      <c r="D11" s="129"/>
      <c r="E11" s="130"/>
      <c r="F11" s="12">
        <f>SUM(F13:F46)</f>
        <v>987744060.75999999</v>
      </c>
      <c r="G11" s="12">
        <f t="shared" ref="G11:T11" si="0">SUM(G13:G46)</f>
        <v>1185135090.2585709</v>
      </c>
      <c r="H11" s="12">
        <f t="shared" si="0"/>
        <v>-197391029.49857104</v>
      </c>
      <c r="I11" s="12">
        <f t="shared" si="0"/>
        <v>2208000</v>
      </c>
      <c r="J11" s="12">
        <f>SUM(J13:J46)</f>
        <v>209245943.55000001</v>
      </c>
      <c r="K11" s="12">
        <f t="shared" ref="K11" si="1">SUM(K13:K46)</f>
        <v>199078262.12</v>
      </c>
      <c r="L11" s="12">
        <f>SUM(L13:L46)</f>
        <v>10167681.43</v>
      </c>
      <c r="M11" s="12">
        <f t="shared" si="0"/>
        <v>0</v>
      </c>
      <c r="N11" s="12">
        <f>SUM(N13:N46)</f>
        <v>52558282.710000001</v>
      </c>
      <c r="O11" s="12">
        <f t="shared" ref="O11" si="2">SUM(O13:O46)</f>
        <v>68255149.150000006</v>
      </c>
      <c r="P11" s="12">
        <f>SUM(P13:P46)</f>
        <v>-15696866.439999999</v>
      </c>
      <c r="Q11" s="12">
        <f t="shared" si="0"/>
        <v>0</v>
      </c>
      <c r="R11" s="12">
        <f t="shared" si="0"/>
        <v>1249548287.02</v>
      </c>
      <c r="S11" s="12">
        <f t="shared" si="0"/>
        <v>1452468501.5285707</v>
      </c>
      <c r="T11" s="14">
        <f t="shared" si="0"/>
        <v>-202920214.50857106</v>
      </c>
      <c r="U11" s="17">
        <f>+S11/R11</f>
        <v>1.1623948562984368</v>
      </c>
    </row>
    <row r="12" spans="2:21" ht="24.95" customHeight="1">
      <c r="B12" s="18"/>
      <c r="C12" s="20" t="s">
        <v>17</v>
      </c>
      <c r="D12" s="20"/>
      <c r="E12" s="10"/>
      <c r="F12" s="12"/>
      <c r="G12" s="12"/>
      <c r="H12" s="12">
        <f t="shared" ref="H12:H17" si="3">+F12-G12</f>
        <v>0</v>
      </c>
      <c r="I12" s="13"/>
      <c r="J12" s="12"/>
      <c r="K12" s="12"/>
      <c r="L12" s="12">
        <f t="shared" ref="L12:L17" si="4">+J12-K12</f>
        <v>0</v>
      </c>
      <c r="M12" s="12"/>
      <c r="N12" s="12"/>
      <c r="O12" s="12"/>
      <c r="P12" s="12">
        <f t="shared" ref="P12:P17" si="5">+N12-O12</f>
        <v>0</v>
      </c>
      <c r="Q12" s="13"/>
      <c r="R12" s="12"/>
      <c r="S12" s="12"/>
      <c r="T12" s="14"/>
      <c r="U12" s="17"/>
    </row>
    <row r="13" spans="2:21" ht="24.95" customHeight="1">
      <c r="B13" s="18"/>
      <c r="C13" s="20"/>
      <c r="D13" s="20"/>
      <c r="E13" s="10" t="s">
        <v>18</v>
      </c>
      <c r="F13" s="12">
        <v>39980216</v>
      </c>
      <c r="G13" s="12">
        <v>67631532.270000011</v>
      </c>
      <c r="H13" s="12">
        <f t="shared" si="3"/>
        <v>-27651316.270000011</v>
      </c>
      <c r="I13" s="13"/>
      <c r="J13" s="12">
        <v>81951000</v>
      </c>
      <c r="K13" s="12">
        <v>81951000</v>
      </c>
      <c r="L13" s="12">
        <f t="shared" si="4"/>
        <v>0</v>
      </c>
      <c r="M13" s="12"/>
      <c r="N13" s="12"/>
      <c r="O13" s="12"/>
      <c r="P13" s="12">
        <f t="shared" si="5"/>
        <v>0</v>
      </c>
      <c r="Q13" s="13"/>
      <c r="R13" s="12">
        <f t="shared" ref="R13:S17" si="6">+F13+J13+N13</f>
        <v>121931216</v>
      </c>
      <c r="S13" s="12">
        <f t="shared" si="6"/>
        <v>149582532.27000001</v>
      </c>
      <c r="T13" s="14">
        <f>+R13-S13</f>
        <v>-27651316.270000011</v>
      </c>
      <c r="U13" s="17">
        <f t="shared" ref="U13:U72" si="7">+S13/R13</f>
        <v>1.2267779915358181</v>
      </c>
    </row>
    <row r="14" spans="2:21" ht="24.95" customHeight="1">
      <c r="B14" s="18"/>
      <c r="C14" s="10"/>
      <c r="D14" s="10"/>
      <c r="E14" s="21" t="s">
        <v>19</v>
      </c>
      <c r="F14" s="12">
        <v>10921114</v>
      </c>
      <c r="G14" s="12">
        <v>11596608.609999999</v>
      </c>
      <c r="H14" s="12">
        <f t="shared" si="3"/>
        <v>-675494.6099999994</v>
      </c>
      <c r="I14" s="13"/>
      <c r="J14" s="12">
        <v>1280000</v>
      </c>
      <c r="K14" s="12">
        <v>1280000</v>
      </c>
      <c r="L14" s="12">
        <f t="shared" si="4"/>
        <v>0</v>
      </c>
      <c r="M14" s="12"/>
      <c r="N14" s="12"/>
      <c r="O14" s="12"/>
      <c r="P14" s="12">
        <f t="shared" si="5"/>
        <v>0</v>
      </c>
      <c r="Q14" s="13"/>
      <c r="R14" s="12">
        <f t="shared" si="6"/>
        <v>12201114</v>
      </c>
      <c r="S14" s="12">
        <f t="shared" si="6"/>
        <v>12876608.609999999</v>
      </c>
      <c r="T14" s="14">
        <f>+R14-S14</f>
        <v>-675494.6099999994</v>
      </c>
      <c r="U14" s="17">
        <f t="shared" si="7"/>
        <v>1.0553633553460773</v>
      </c>
    </row>
    <row r="15" spans="2:21" ht="27" customHeight="1">
      <c r="B15" s="18"/>
      <c r="C15" s="10"/>
      <c r="D15" s="10"/>
      <c r="E15" s="21" t="s">
        <v>20</v>
      </c>
      <c r="F15" s="12">
        <v>8715673</v>
      </c>
      <c r="G15" s="12">
        <v>12929853.309999999</v>
      </c>
      <c r="H15" s="12">
        <f t="shared" si="3"/>
        <v>-4214180.3099999987</v>
      </c>
      <c r="I15" s="13"/>
      <c r="J15" s="12">
        <v>1035000</v>
      </c>
      <c r="K15" s="12">
        <v>1035000</v>
      </c>
      <c r="L15" s="12">
        <f t="shared" si="4"/>
        <v>0</v>
      </c>
      <c r="M15" s="12"/>
      <c r="N15" s="12"/>
      <c r="O15" s="12"/>
      <c r="P15" s="12">
        <f t="shared" si="5"/>
        <v>0</v>
      </c>
      <c r="Q15" s="13"/>
      <c r="R15" s="12">
        <f t="shared" si="6"/>
        <v>9750673</v>
      </c>
      <c r="S15" s="12">
        <f t="shared" si="6"/>
        <v>13964853.309999999</v>
      </c>
      <c r="T15" s="14">
        <f>+R15-S15</f>
        <v>-4214180.3099999987</v>
      </c>
      <c r="U15" s="17">
        <f t="shared" si="7"/>
        <v>1.4321937890851224</v>
      </c>
    </row>
    <row r="16" spans="2:21" ht="27" customHeight="1">
      <c r="B16" s="18"/>
      <c r="C16" s="10"/>
      <c r="D16" s="10"/>
      <c r="E16" s="22" t="s">
        <v>21</v>
      </c>
      <c r="F16" s="12">
        <v>5770747.4700000007</v>
      </c>
      <c r="G16" s="12">
        <v>6553391.2599999998</v>
      </c>
      <c r="H16" s="12">
        <f t="shared" si="3"/>
        <v>-782643.78999999911</v>
      </c>
      <c r="I16" s="13"/>
      <c r="J16" s="12">
        <v>393000</v>
      </c>
      <c r="K16" s="12">
        <v>393000</v>
      </c>
      <c r="L16" s="12">
        <f t="shared" si="4"/>
        <v>0</v>
      </c>
      <c r="M16" s="12"/>
      <c r="N16" s="12"/>
      <c r="O16" s="12"/>
      <c r="P16" s="12">
        <f t="shared" si="5"/>
        <v>0</v>
      </c>
      <c r="Q16" s="13"/>
      <c r="R16" s="12">
        <f t="shared" si="6"/>
        <v>6163747.4700000007</v>
      </c>
      <c r="S16" s="12">
        <f t="shared" si="6"/>
        <v>6946391.2599999998</v>
      </c>
      <c r="T16" s="14">
        <f>+R16-S16</f>
        <v>-782643.78999999911</v>
      </c>
      <c r="U16" s="17">
        <f t="shared" si="7"/>
        <v>1.1269753171766459</v>
      </c>
    </row>
    <row r="17" spans="2:21" ht="27" customHeight="1">
      <c r="B17" s="18"/>
      <c r="C17" s="10"/>
      <c r="D17" s="10"/>
      <c r="E17" s="21" t="s">
        <v>22</v>
      </c>
      <c r="F17" s="12">
        <v>14749757</v>
      </c>
      <c r="G17" s="12">
        <v>24596750.32</v>
      </c>
      <c r="H17" s="12">
        <f t="shared" si="3"/>
        <v>-9846993.3200000003</v>
      </c>
      <c r="I17" s="13"/>
      <c r="J17" s="12">
        <v>3502000</v>
      </c>
      <c r="K17" s="12">
        <v>3502000</v>
      </c>
      <c r="L17" s="12">
        <f t="shared" si="4"/>
        <v>0</v>
      </c>
      <c r="M17" s="12"/>
      <c r="N17" s="12"/>
      <c r="O17" s="12"/>
      <c r="P17" s="12">
        <f t="shared" si="5"/>
        <v>0</v>
      </c>
      <c r="Q17" s="13"/>
      <c r="R17" s="12">
        <f t="shared" si="6"/>
        <v>18251757</v>
      </c>
      <c r="S17" s="12">
        <f t="shared" si="6"/>
        <v>28098750.32</v>
      </c>
      <c r="T17" s="14">
        <f>+R17-S17</f>
        <v>-9846993.3200000003</v>
      </c>
      <c r="U17" s="17">
        <f t="shared" si="7"/>
        <v>1.5395093371010802</v>
      </c>
    </row>
    <row r="18" spans="2:21" ht="24.95" customHeight="1">
      <c r="B18" s="18"/>
      <c r="C18" s="10"/>
      <c r="D18" s="10"/>
      <c r="E18" s="21"/>
      <c r="F18" s="12"/>
      <c r="G18" s="12"/>
      <c r="H18" s="12"/>
      <c r="I18" s="13"/>
      <c r="J18" s="12"/>
      <c r="K18" s="12"/>
      <c r="L18" s="12"/>
      <c r="M18" s="12"/>
      <c r="N18" s="12"/>
      <c r="O18" s="12"/>
      <c r="P18" s="12"/>
      <c r="Q18" s="13"/>
      <c r="R18" s="12"/>
      <c r="S18" s="12"/>
      <c r="T18" s="14"/>
      <c r="U18" s="17"/>
    </row>
    <row r="19" spans="2:21" ht="24.95" customHeight="1">
      <c r="B19" s="18"/>
      <c r="C19" s="20" t="s">
        <v>23</v>
      </c>
      <c r="D19" s="20"/>
      <c r="E19" s="10"/>
      <c r="F19" s="12"/>
      <c r="G19" s="12"/>
      <c r="H19" s="12"/>
      <c r="I19" s="13"/>
      <c r="J19" s="12"/>
      <c r="K19" s="12"/>
      <c r="L19" s="12"/>
      <c r="M19" s="12"/>
      <c r="N19" s="12"/>
      <c r="O19" s="12"/>
      <c r="P19" s="12"/>
      <c r="Q19" s="13"/>
      <c r="R19" s="12"/>
      <c r="S19" s="12"/>
      <c r="T19" s="14"/>
      <c r="U19" s="17"/>
    </row>
    <row r="20" spans="2:21" ht="24.95" customHeight="1">
      <c r="B20" s="18"/>
      <c r="C20" s="20"/>
      <c r="D20" s="20"/>
      <c r="E20" s="10" t="s">
        <v>24</v>
      </c>
      <c r="F20" s="12">
        <v>75405000</v>
      </c>
      <c r="G20" s="12">
        <v>187934367.88</v>
      </c>
      <c r="H20" s="12">
        <f>+F20-G20</f>
        <v>-112529367.88</v>
      </c>
      <c r="I20" s="13"/>
      <c r="J20" s="12">
        <v>2190500</v>
      </c>
      <c r="K20" s="12">
        <v>1661845</v>
      </c>
      <c r="L20" s="12">
        <f>+J20-K20</f>
        <v>528655</v>
      </c>
      <c r="M20" s="12"/>
      <c r="N20" s="12"/>
      <c r="O20" s="12"/>
      <c r="P20" s="12">
        <f>+N20-O20</f>
        <v>0</v>
      </c>
      <c r="Q20" s="13"/>
      <c r="R20" s="12">
        <f>+F20+J20+N20</f>
        <v>77595500</v>
      </c>
      <c r="S20" s="12">
        <f>+G20+K20+O20</f>
        <v>189596212.88</v>
      </c>
      <c r="T20" s="14">
        <f>+R20-S20</f>
        <v>-112000712.88</v>
      </c>
      <c r="U20" s="17">
        <f t="shared" si="7"/>
        <v>2.4433918575175104</v>
      </c>
    </row>
    <row r="21" spans="2:21" ht="28.5" customHeight="1">
      <c r="B21" s="18"/>
      <c r="C21" s="10"/>
      <c r="D21" s="10"/>
      <c r="E21" s="22" t="s">
        <v>142</v>
      </c>
      <c r="F21" s="12">
        <v>35532300</v>
      </c>
      <c r="G21" s="12">
        <v>34131111.789999999</v>
      </c>
      <c r="H21" s="12">
        <f>+F21-G21</f>
        <v>1401188.2100000009</v>
      </c>
      <c r="I21" s="13"/>
      <c r="J21" s="12">
        <v>3707500</v>
      </c>
      <c r="K21" s="12">
        <v>3398225</v>
      </c>
      <c r="L21" s="12">
        <f>+J21-K21</f>
        <v>309275</v>
      </c>
      <c r="M21" s="12"/>
      <c r="N21" s="12">
        <v>0</v>
      </c>
      <c r="O21" s="12">
        <v>1561136.99</v>
      </c>
      <c r="P21" s="12">
        <f>+N21-O21</f>
        <v>-1561136.99</v>
      </c>
      <c r="Q21" s="13"/>
      <c r="R21" s="12">
        <f>+F21+J21+N21</f>
        <v>39239800</v>
      </c>
      <c r="S21" s="12">
        <f>+G21+K21+O21</f>
        <v>39090473.780000001</v>
      </c>
      <c r="T21" s="14">
        <f>+R21-S21</f>
        <v>149326.21999999881</v>
      </c>
      <c r="U21" s="17">
        <f t="shared" si="7"/>
        <v>0.99619452137880415</v>
      </c>
    </row>
    <row r="22" spans="2:21" ht="24.95" customHeight="1">
      <c r="B22" s="18"/>
      <c r="C22" s="10"/>
      <c r="D22" s="10"/>
      <c r="E22" s="22"/>
      <c r="F22" s="12"/>
      <c r="G22" s="12"/>
      <c r="H22" s="12"/>
      <c r="I22" s="13"/>
      <c r="J22" s="12"/>
      <c r="K22" s="12"/>
      <c r="L22" s="12"/>
      <c r="M22" s="12"/>
      <c r="N22" s="12"/>
      <c r="O22" s="12"/>
      <c r="P22" s="12"/>
      <c r="Q22" s="13"/>
      <c r="R22" s="12"/>
      <c r="S22" s="12"/>
      <c r="T22" s="14"/>
      <c r="U22" s="17"/>
    </row>
    <row r="23" spans="2:21" ht="24.95" customHeight="1">
      <c r="B23" s="18"/>
      <c r="C23" s="20" t="s">
        <v>26</v>
      </c>
      <c r="D23" s="20"/>
      <c r="E23" s="10"/>
      <c r="F23" s="12"/>
      <c r="G23" s="12"/>
      <c r="H23" s="12"/>
      <c r="I23" s="13"/>
      <c r="J23" s="12"/>
      <c r="K23" s="12"/>
      <c r="L23" s="12"/>
      <c r="M23" s="12"/>
      <c r="N23" s="12"/>
      <c r="O23" s="12"/>
      <c r="P23" s="12"/>
      <c r="Q23" s="13"/>
      <c r="R23" s="12"/>
      <c r="S23" s="12"/>
      <c r="T23" s="14"/>
      <c r="U23" s="17"/>
    </row>
    <row r="24" spans="2:21" ht="24.95" customHeight="1">
      <c r="B24" s="18"/>
      <c r="C24" s="20"/>
      <c r="D24" s="20"/>
      <c r="E24" s="10" t="s">
        <v>27</v>
      </c>
      <c r="F24" s="12">
        <v>68211000</v>
      </c>
      <c r="G24" s="12">
        <v>142480563.408571</v>
      </c>
      <c r="H24" s="12">
        <f>+F24-G24</f>
        <v>-74269563.408571005</v>
      </c>
      <c r="I24" s="13"/>
      <c r="J24" s="12"/>
      <c r="K24" s="12"/>
      <c r="L24" s="12">
        <f>+J24-K24</f>
        <v>0</v>
      </c>
      <c r="M24" s="12"/>
      <c r="N24" s="12"/>
      <c r="O24" s="12"/>
      <c r="P24" s="12">
        <f>+N24-O24</f>
        <v>0</v>
      </c>
      <c r="Q24" s="13"/>
      <c r="R24" s="12">
        <f t="shared" ref="R24:S26" si="8">+F24+J24+N24</f>
        <v>68211000</v>
      </c>
      <c r="S24" s="12">
        <f t="shared" si="8"/>
        <v>142480563.408571</v>
      </c>
      <c r="T24" s="14">
        <f>+R24-S24</f>
        <v>-74269563.408571005</v>
      </c>
      <c r="U24" s="17">
        <f t="shared" si="7"/>
        <v>2.0888209146409085</v>
      </c>
    </row>
    <row r="25" spans="2:21" ht="27.75" customHeight="1">
      <c r="B25" s="18"/>
      <c r="C25" s="10"/>
      <c r="D25" s="10"/>
      <c r="E25" s="22" t="s">
        <v>28</v>
      </c>
      <c r="F25" s="12">
        <v>5893000</v>
      </c>
      <c r="G25" s="12">
        <f>11169205.92-3941000</f>
        <v>7228205.9199999999</v>
      </c>
      <c r="H25" s="12">
        <f>+F25-G25</f>
        <v>-1335205.92</v>
      </c>
      <c r="I25" s="13"/>
      <c r="J25" s="12">
        <v>1020000</v>
      </c>
      <c r="K25" s="12">
        <f>1020000+3941000</f>
        <v>4961000</v>
      </c>
      <c r="L25" s="12">
        <f>+J25-K25</f>
        <v>-3941000</v>
      </c>
      <c r="M25" s="12"/>
      <c r="N25" s="12"/>
      <c r="O25" s="12"/>
      <c r="P25" s="12">
        <f>+N25-O25</f>
        <v>0</v>
      </c>
      <c r="Q25" s="13"/>
      <c r="R25" s="12">
        <f t="shared" si="8"/>
        <v>6913000</v>
      </c>
      <c r="S25" s="12">
        <f t="shared" si="8"/>
        <v>12189205.92</v>
      </c>
      <c r="T25" s="14">
        <f>+R25-S25</f>
        <v>-5276205.92</v>
      </c>
      <c r="U25" s="17">
        <f t="shared" si="7"/>
        <v>1.7632295559091566</v>
      </c>
    </row>
    <row r="26" spans="2:21" ht="27.75" customHeight="1">
      <c r="B26" s="18"/>
      <c r="C26" s="10"/>
      <c r="D26" s="10"/>
      <c r="E26" s="22" t="s">
        <v>29</v>
      </c>
      <c r="F26" s="12">
        <v>4237000</v>
      </c>
      <c r="G26" s="12">
        <v>13239104.039999999</v>
      </c>
      <c r="H26" s="12">
        <f>+F26-G26</f>
        <v>-9002104.0399999991</v>
      </c>
      <c r="I26" s="13"/>
      <c r="J26" s="12">
        <v>520000</v>
      </c>
      <c r="K26" s="12"/>
      <c r="L26" s="12">
        <f>+J26-K26</f>
        <v>520000</v>
      </c>
      <c r="M26" s="12"/>
      <c r="N26" s="12"/>
      <c r="O26" s="12"/>
      <c r="P26" s="12">
        <f>+N26-O26</f>
        <v>0</v>
      </c>
      <c r="Q26" s="13"/>
      <c r="R26" s="12">
        <f t="shared" si="8"/>
        <v>4757000</v>
      </c>
      <c r="S26" s="12">
        <f t="shared" si="8"/>
        <v>13239104.039999999</v>
      </c>
      <c r="T26" s="14">
        <f>+R26-S26</f>
        <v>-8482104.0399999991</v>
      </c>
      <c r="U26" s="17">
        <f t="shared" si="7"/>
        <v>2.7830784191717468</v>
      </c>
    </row>
    <row r="27" spans="2:21" ht="24.95" customHeight="1">
      <c r="B27" s="18"/>
      <c r="C27" s="10"/>
      <c r="D27" s="10"/>
      <c r="E27" s="22"/>
      <c r="F27" s="12"/>
      <c r="G27" s="12"/>
      <c r="H27" s="12"/>
      <c r="I27" s="13"/>
      <c r="J27" s="12"/>
      <c r="K27" s="12"/>
      <c r="L27" s="12"/>
      <c r="M27" s="12"/>
      <c r="N27" s="12"/>
      <c r="O27" s="12"/>
      <c r="P27" s="12"/>
      <c r="Q27" s="13"/>
      <c r="R27" s="12"/>
      <c r="S27" s="12"/>
      <c r="T27" s="14"/>
      <c r="U27" s="17"/>
    </row>
    <row r="28" spans="2:21" ht="24.95" customHeight="1">
      <c r="B28" s="18"/>
      <c r="C28" s="20" t="s">
        <v>30</v>
      </c>
      <c r="D28" s="20"/>
      <c r="E28" s="10"/>
      <c r="F28" s="12"/>
      <c r="G28" s="12"/>
      <c r="H28" s="12"/>
      <c r="I28" s="13"/>
      <c r="J28" s="12"/>
      <c r="K28" s="12"/>
      <c r="L28" s="12"/>
      <c r="M28" s="12"/>
      <c r="N28" s="12"/>
      <c r="O28" s="12"/>
      <c r="P28" s="12"/>
      <c r="Q28" s="13"/>
      <c r="R28" s="12"/>
      <c r="S28" s="12"/>
      <c r="T28" s="14"/>
      <c r="U28" s="17"/>
    </row>
    <row r="29" spans="2:21" ht="24.95" customHeight="1">
      <c r="B29" s="18"/>
      <c r="C29" s="20"/>
      <c r="D29" s="20"/>
      <c r="E29" s="10" t="s">
        <v>31</v>
      </c>
      <c r="F29" s="23">
        <v>15053632.289999977</v>
      </c>
      <c r="G29" s="23">
        <v>41202063.810000002</v>
      </c>
      <c r="H29" s="12">
        <f>+F29-G29</f>
        <v>-26148431.520000026</v>
      </c>
      <c r="I29" s="13"/>
      <c r="J29" s="23">
        <v>1740000</v>
      </c>
      <c r="K29" s="23">
        <v>1125350</v>
      </c>
      <c r="L29" s="12">
        <f>+J29-K29</f>
        <v>614650</v>
      </c>
      <c r="M29" s="12"/>
      <c r="N29" s="23">
        <v>46096367.710000001</v>
      </c>
      <c r="O29" s="23">
        <v>46096367.710000001</v>
      </c>
      <c r="P29" s="12">
        <f>+N29-O29</f>
        <v>0</v>
      </c>
      <c r="Q29" s="13"/>
      <c r="R29" s="12">
        <f t="shared" ref="R29:S32" si="9">+F29+J29+N29</f>
        <v>62889999.999999978</v>
      </c>
      <c r="S29" s="12">
        <f t="shared" si="9"/>
        <v>88423781.520000011</v>
      </c>
      <c r="T29" s="14">
        <f>+R29-S29</f>
        <v>-25533781.520000033</v>
      </c>
      <c r="U29" s="17">
        <f t="shared" si="7"/>
        <v>1.4060070205120057</v>
      </c>
    </row>
    <row r="30" spans="2:21" ht="28.5" customHeight="1">
      <c r="B30" s="18"/>
      <c r="C30" s="10"/>
      <c r="D30" s="10"/>
      <c r="E30" s="22" t="s">
        <v>32</v>
      </c>
      <c r="F30" s="12">
        <v>83119000</v>
      </c>
      <c r="G30" s="12">
        <v>32366718.91</v>
      </c>
      <c r="H30" s="12">
        <f>+F30-G30</f>
        <v>50752281.090000004</v>
      </c>
      <c r="I30" s="13"/>
      <c r="J30" s="12">
        <v>8920000</v>
      </c>
      <c r="K30" s="12">
        <v>5724500.79</v>
      </c>
      <c r="L30" s="12">
        <f>+J30-K30</f>
        <v>3195499.21</v>
      </c>
      <c r="M30" s="12"/>
      <c r="N30" s="12"/>
      <c r="O30" s="12"/>
      <c r="P30" s="12">
        <f>+N30-O30</f>
        <v>0</v>
      </c>
      <c r="Q30" s="13"/>
      <c r="R30" s="12">
        <f t="shared" si="9"/>
        <v>92039000</v>
      </c>
      <c r="S30" s="12">
        <f t="shared" si="9"/>
        <v>38091219.700000003</v>
      </c>
      <c r="T30" s="14">
        <f>+R30-S30</f>
        <v>53947780.299999997</v>
      </c>
      <c r="U30" s="17">
        <f t="shared" si="7"/>
        <v>0.41385955627505733</v>
      </c>
    </row>
    <row r="31" spans="2:21" ht="28.5" customHeight="1">
      <c r="B31" s="18"/>
      <c r="C31" s="10"/>
      <c r="D31" s="10"/>
      <c r="E31" s="22" t="s">
        <v>33</v>
      </c>
      <c r="F31" s="12">
        <f>24535000-2710000</f>
        <v>21825000</v>
      </c>
      <c r="G31" s="12">
        <v>33067344.479999997</v>
      </c>
      <c r="H31" s="12">
        <f>+F31-G31</f>
        <v>-11242344.479999997</v>
      </c>
      <c r="I31" s="13"/>
      <c r="J31" s="12">
        <v>2710000</v>
      </c>
      <c r="K31" s="12">
        <v>2472500</v>
      </c>
      <c r="L31" s="12">
        <f>+J31-K31</f>
        <v>237500</v>
      </c>
      <c r="M31" s="12"/>
      <c r="N31" s="12">
        <v>433777</v>
      </c>
      <c r="O31" s="12">
        <v>433774.16</v>
      </c>
      <c r="P31" s="12">
        <f>+N31-O31</f>
        <v>2.8400000000256114</v>
      </c>
      <c r="Q31" s="13"/>
      <c r="R31" s="12">
        <f t="shared" si="9"/>
        <v>24968777</v>
      </c>
      <c r="S31" s="12">
        <f t="shared" si="9"/>
        <v>35973618.639999993</v>
      </c>
      <c r="T31" s="14">
        <f>+R31-S31</f>
        <v>-11004841.639999993</v>
      </c>
      <c r="U31" s="17">
        <f t="shared" si="7"/>
        <v>1.4407441197460329</v>
      </c>
    </row>
    <row r="32" spans="2:21" ht="28.5" customHeight="1">
      <c r="B32" s="18"/>
      <c r="C32" s="10"/>
      <c r="D32" s="10"/>
      <c r="E32" s="22" t="s">
        <v>34</v>
      </c>
      <c r="F32" s="12">
        <v>7988734</v>
      </c>
      <c r="G32" s="12">
        <v>15732741.529999999</v>
      </c>
      <c r="H32" s="12">
        <f>+F32-G32</f>
        <v>-7744007.5299999993</v>
      </c>
      <c r="I32" s="13"/>
      <c r="J32" s="12">
        <v>535000</v>
      </c>
      <c r="K32" s="12">
        <v>535000</v>
      </c>
      <c r="L32" s="12">
        <f>+J32-K32</f>
        <v>0</v>
      </c>
      <c r="M32" s="12"/>
      <c r="N32" s="12"/>
      <c r="O32" s="12"/>
      <c r="P32" s="12">
        <f>+N32-O32</f>
        <v>0</v>
      </c>
      <c r="Q32" s="13"/>
      <c r="R32" s="12">
        <f t="shared" si="9"/>
        <v>8523734</v>
      </c>
      <c r="S32" s="12">
        <f t="shared" si="9"/>
        <v>16267741.529999999</v>
      </c>
      <c r="T32" s="14">
        <f>+R32-S32</f>
        <v>-7744007.5299999993</v>
      </c>
      <c r="U32" s="17">
        <f t="shared" si="7"/>
        <v>1.9085228997056922</v>
      </c>
    </row>
    <row r="33" spans="2:23" ht="27.75" customHeight="1">
      <c r="B33" s="18"/>
      <c r="C33" s="10"/>
      <c r="D33" s="10"/>
      <c r="E33" s="22"/>
      <c r="F33" s="12"/>
      <c r="G33" s="12"/>
      <c r="H33" s="12"/>
      <c r="I33" s="13"/>
      <c r="J33" s="12"/>
      <c r="K33" s="12"/>
      <c r="L33" s="12"/>
      <c r="M33" s="12"/>
      <c r="N33" s="12"/>
      <c r="O33" s="12"/>
      <c r="P33" s="12"/>
      <c r="Q33" s="13"/>
      <c r="R33" s="12"/>
      <c r="S33" s="12"/>
      <c r="T33" s="14"/>
      <c r="U33" s="17"/>
    </row>
    <row r="34" spans="2:23" ht="24.95" customHeight="1">
      <c r="B34" s="18"/>
      <c r="C34" s="24" t="s">
        <v>35</v>
      </c>
      <c r="D34" s="10"/>
      <c r="E34" s="22"/>
      <c r="F34" s="12"/>
      <c r="G34" s="12"/>
      <c r="H34" s="12"/>
      <c r="I34" s="13"/>
      <c r="J34" s="12"/>
      <c r="K34" s="12"/>
      <c r="L34" s="12"/>
      <c r="M34" s="12"/>
      <c r="N34" s="12"/>
      <c r="O34" s="12"/>
      <c r="P34" s="12"/>
      <c r="Q34" s="13"/>
      <c r="R34" s="12"/>
      <c r="S34" s="12"/>
      <c r="T34" s="14"/>
      <c r="U34" s="17"/>
    </row>
    <row r="35" spans="2:23" ht="24.95" customHeight="1">
      <c r="B35" s="18"/>
      <c r="C35" s="10"/>
      <c r="D35" s="25" t="s">
        <v>36</v>
      </c>
      <c r="E35" s="26"/>
      <c r="F35" s="12">
        <f>25111400-2235000</f>
        <v>22876400</v>
      </c>
      <c r="G35" s="12">
        <f>32208036.64-2145000</f>
        <v>30063036.640000001</v>
      </c>
      <c r="H35" s="12">
        <f>+F35-G35</f>
        <v>-7186636.6400000006</v>
      </c>
      <c r="I35" s="13"/>
      <c r="J35" s="12">
        <v>2235000</v>
      </c>
      <c r="K35" s="12">
        <v>2145000</v>
      </c>
      <c r="L35" s="12">
        <f>+J35-K35</f>
        <v>90000</v>
      </c>
      <c r="M35" s="12"/>
      <c r="N35" s="12"/>
      <c r="O35" s="12"/>
      <c r="P35" s="12">
        <f>+N35-O35</f>
        <v>0</v>
      </c>
      <c r="Q35" s="13"/>
      <c r="R35" s="12">
        <f t="shared" ref="R35:S46" si="10">+F35+J35+N35</f>
        <v>25111400</v>
      </c>
      <c r="S35" s="12">
        <f t="shared" si="10"/>
        <v>32208036.640000001</v>
      </c>
      <c r="T35" s="14">
        <f>+R35-S35</f>
        <v>-7096636.6400000006</v>
      </c>
      <c r="U35" s="17">
        <f t="shared" si="7"/>
        <v>1.2826061724953608</v>
      </c>
    </row>
    <row r="36" spans="2:23" ht="24.95" customHeight="1">
      <c r="B36" s="18"/>
      <c r="C36" s="10"/>
      <c r="D36" s="27" t="s">
        <v>37</v>
      </c>
      <c r="E36" s="22"/>
      <c r="F36" s="12">
        <v>79491000</v>
      </c>
      <c r="G36" s="12">
        <v>107126882.08</v>
      </c>
      <c r="H36" s="12">
        <f>+F36-G36</f>
        <v>-27635882.079999998</v>
      </c>
      <c r="I36" s="13"/>
      <c r="J36" s="12">
        <f>34270162.05-276.5+2815558</f>
        <v>37085443.549999997</v>
      </c>
      <c r="K36" s="12">
        <v>31135159.129999999</v>
      </c>
      <c r="L36" s="12">
        <f>+J36-K36</f>
        <v>5950284.4199999981</v>
      </c>
      <c r="M36" s="12"/>
      <c r="N36" s="12">
        <v>987568</v>
      </c>
      <c r="O36" s="12">
        <v>783066.59</v>
      </c>
      <c r="P36" s="12">
        <f>+N36-O36</f>
        <v>204501.41000000003</v>
      </c>
      <c r="Q36" s="13"/>
      <c r="R36" s="12">
        <f t="shared" si="10"/>
        <v>117564011.55</v>
      </c>
      <c r="S36" s="12">
        <f t="shared" si="10"/>
        <v>139045107.80000001</v>
      </c>
      <c r="T36" s="14">
        <f>+R36-S36</f>
        <v>-21481096.250000015</v>
      </c>
      <c r="U36" s="17">
        <f t="shared" si="7"/>
        <v>1.1827182993059411</v>
      </c>
    </row>
    <row r="37" spans="2:23" ht="24.95" customHeight="1">
      <c r="B37" s="18"/>
      <c r="C37" s="10"/>
      <c r="D37" s="28" t="s">
        <v>38</v>
      </c>
      <c r="E37" s="22"/>
      <c r="F37" s="12">
        <v>45115000</v>
      </c>
      <c r="G37" s="12">
        <v>43958639.189999998</v>
      </c>
      <c r="H37" s="12">
        <f>+F37-G37</f>
        <v>1156360.8100000024</v>
      </c>
      <c r="I37" s="13"/>
      <c r="J37" s="12">
        <v>6295000</v>
      </c>
      <c r="K37" s="12">
        <v>6000000</v>
      </c>
      <c r="L37" s="12">
        <f>+J37-K37</f>
        <v>295000</v>
      </c>
      <c r="M37" s="12"/>
      <c r="N37" s="12"/>
      <c r="O37" s="12">
        <v>532911.49</v>
      </c>
      <c r="P37" s="12">
        <f>+N37-O37</f>
        <v>-532911.49</v>
      </c>
      <c r="Q37" s="13"/>
      <c r="R37" s="12">
        <f t="shared" si="10"/>
        <v>51410000</v>
      </c>
      <c r="S37" s="12">
        <f t="shared" si="10"/>
        <v>50491550.68</v>
      </c>
      <c r="T37" s="14">
        <f>+R37-S37</f>
        <v>918449.3200000003</v>
      </c>
      <c r="U37" s="17">
        <f t="shared" si="7"/>
        <v>0.98213481190429874</v>
      </c>
    </row>
    <row r="38" spans="2:23" ht="24.95" customHeight="1">
      <c r="B38" s="18"/>
      <c r="C38" s="10"/>
      <c r="D38" s="28" t="s">
        <v>39</v>
      </c>
      <c r="E38" s="22"/>
      <c r="F38" s="12">
        <f>115293987-7365000</f>
        <v>107928987</v>
      </c>
      <c r="G38" s="12">
        <f>80823027.79-7365000</f>
        <v>73458027.790000007</v>
      </c>
      <c r="H38" s="12">
        <f>+F38-G38</f>
        <v>34470959.209999993</v>
      </c>
      <c r="I38" s="13"/>
      <c r="J38" s="12">
        <v>7365000</v>
      </c>
      <c r="K38" s="12">
        <v>7365000</v>
      </c>
      <c r="L38" s="12">
        <f>+J38-K38</f>
        <v>0</v>
      </c>
      <c r="M38" s="12"/>
      <c r="N38" s="12">
        <v>2110767</v>
      </c>
      <c r="O38" s="12">
        <v>2436768.23</v>
      </c>
      <c r="P38" s="12">
        <f>+N38-O38</f>
        <v>-326001.23</v>
      </c>
      <c r="Q38" s="13"/>
      <c r="R38" s="12">
        <f t="shared" si="10"/>
        <v>117404754</v>
      </c>
      <c r="S38" s="12">
        <f t="shared" si="10"/>
        <v>83259796.020000011</v>
      </c>
      <c r="T38" s="14">
        <f>+R38-S38</f>
        <v>34144957.979999989</v>
      </c>
      <c r="U38" s="17">
        <f t="shared" si="7"/>
        <v>0.709168863979733</v>
      </c>
    </row>
    <row r="39" spans="2:23" ht="24.95" customHeight="1">
      <c r="B39" s="18"/>
      <c r="C39" s="10"/>
      <c r="D39" s="28" t="s">
        <v>40</v>
      </c>
      <c r="E39" s="22"/>
      <c r="F39" s="12">
        <v>85178000</v>
      </c>
      <c r="G39" s="12">
        <v>81335179.680000007</v>
      </c>
      <c r="H39" s="12">
        <f t="shared" ref="H39:H44" si="11">+F39-G39</f>
        <v>3842820.3199999928</v>
      </c>
      <c r="I39" s="13"/>
      <c r="J39" s="12">
        <v>11105000</v>
      </c>
      <c r="K39" s="12">
        <v>10680000</v>
      </c>
      <c r="L39" s="12">
        <f t="shared" ref="L39:L44" si="12">+J39-K39</f>
        <v>425000</v>
      </c>
      <c r="M39" s="12"/>
      <c r="N39" s="12"/>
      <c r="O39" s="12"/>
      <c r="P39" s="12">
        <f t="shared" ref="P39:P44" si="13">+N39-O39</f>
        <v>0</v>
      </c>
      <c r="Q39" s="13"/>
      <c r="R39" s="12">
        <f t="shared" si="10"/>
        <v>96283000</v>
      </c>
      <c r="S39" s="12">
        <f t="shared" si="10"/>
        <v>92015179.680000007</v>
      </c>
      <c r="T39" s="14">
        <f t="shared" ref="T39:T46" si="14">+R39-S39</f>
        <v>4267820.3199999928</v>
      </c>
      <c r="U39" s="17">
        <f t="shared" si="7"/>
        <v>0.95567420707705419</v>
      </c>
    </row>
    <row r="40" spans="2:23" ht="24.95" customHeight="1">
      <c r="B40" s="18"/>
      <c r="C40" s="10"/>
      <c r="D40" s="28" t="s">
        <v>41</v>
      </c>
      <c r="E40" s="22"/>
      <c r="F40" s="12">
        <v>28994000</v>
      </c>
      <c r="G40" s="12">
        <v>19726005.02</v>
      </c>
      <c r="H40" s="12">
        <f t="shared" si="11"/>
        <v>9267994.9800000004</v>
      </c>
      <c r="I40" s="13"/>
      <c r="J40" s="12">
        <v>4434000</v>
      </c>
      <c r="K40" s="12">
        <v>4051250</v>
      </c>
      <c r="L40" s="12">
        <f t="shared" si="12"/>
        <v>382750</v>
      </c>
      <c r="M40" s="12"/>
      <c r="N40" s="12"/>
      <c r="O40" s="12"/>
      <c r="P40" s="12">
        <f t="shared" si="13"/>
        <v>0</v>
      </c>
      <c r="Q40" s="13"/>
      <c r="R40" s="12">
        <f t="shared" si="10"/>
        <v>33428000</v>
      </c>
      <c r="S40" s="12">
        <f t="shared" si="10"/>
        <v>23777255.02</v>
      </c>
      <c r="T40" s="14">
        <f t="shared" si="14"/>
        <v>9650744.9800000004</v>
      </c>
      <c r="U40" s="17">
        <f t="shared" si="7"/>
        <v>0.71129756551394041</v>
      </c>
    </row>
    <row r="41" spans="2:23" ht="24.95" customHeight="1">
      <c r="B41" s="18"/>
      <c r="C41" s="10"/>
      <c r="D41" s="28" t="s">
        <v>42</v>
      </c>
      <c r="E41" s="22"/>
      <c r="F41" s="12">
        <v>37884000</v>
      </c>
      <c r="G41" s="12">
        <v>32487503.480000004</v>
      </c>
      <c r="H41" s="12">
        <f t="shared" si="11"/>
        <v>5396496.5199999958</v>
      </c>
      <c r="I41" s="13"/>
      <c r="J41" s="12">
        <v>10412000</v>
      </c>
      <c r="K41" s="12">
        <v>10412000</v>
      </c>
      <c r="L41" s="12">
        <f t="shared" si="12"/>
        <v>0</v>
      </c>
      <c r="M41" s="12"/>
      <c r="N41" s="12">
        <v>239886</v>
      </c>
      <c r="O41" s="12">
        <v>1117621.45</v>
      </c>
      <c r="P41" s="12">
        <f t="shared" si="13"/>
        <v>-877735.45</v>
      </c>
      <c r="Q41" s="13"/>
      <c r="R41" s="12">
        <f t="shared" si="10"/>
        <v>48535886</v>
      </c>
      <c r="S41" s="12">
        <f t="shared" si="10"/>
        <v>44017124.930000007</v>
      </c>
      <c r="T41" s="14">
        <f t="shared" si="14"/>
        <v>4518761.0699999928</v>
      </c>
      <c r="U41" s="17">
        <f t="shared" si="7"/>
        <v>0.90689855604984748</v>
      </c>
    </row>
    <row r="42" spans="2:23" ht="24.95" customHeight="1">
      <c r="B42" s="18"/>
      <c r="C42" s="10"/>
      <c r="D42" s="25" t="s">
        <v>43</v>
      </c>
      <c r="E42" s="22"/>
      <c r="F42" s="12">
        <v>35403000</v>
      </c>
      <c r="G42" s="12">
        <v>35798044.43</v>
      </c>
      <c r="H42" s="12">
        <f t="shared" si="11"/>
        <v>-395044.4299999997</v>
      </c>
      <c r="I42" s="13">
        <v>2208000</v>
      </c>
      <c r="J42" s="12">
        <v>6110500</v>
      </c>
      <c r="K42" s="12">
        <v>5729251.0999999996</v>
      </c>
      <c r="L42" s="12">
        <f t="shared" si="12"/>
        <v>381248.90000000037</v>
      </c>
      <c r="M42" s="12"/>
      <c r="N42" s="12">
        <v>94406</v>
      </c>
      <c r="O42" s="12"/>
      <c r="P42" s="12">
        <f t="shared" si="13"/>
        <v>94406</v>
      </c>
      <c r="Q42" s="13"/>
      <c r="R42" s="12">
        <f t="shared" si="10"/>
        <v>41607906</v>
      </c>
      <c r="S42" s="12">
        <f t="shared" si="10"/>
        <v>41527295.530000001</v>
      </c>
      <c r="T42" s="14">
        <f t="shared" si="14"/>
        <v>80610.469999998808</v>
      </c>
      <c r="U42" s="17">
        <f t="shared" si="7"/>
        <v>0.99806261651331363</v>
      </c>
    </row>
    <row r="43" spans="2:23" ht="24.95" customHeight="1">
      <c r="B43" s="18"/>
      <c r="C43" s="10"/>
      <c r="D43" s="27" t="s">
        <v>44</v>
      </c>
      <c r="E43" s="22"/>
      <c r="F43" s="12">
        <v>53602000</v>
      </c>
      <c r="G43" s="12">
        <v>36486104.219999999</v>
      </c>
      <c r="H43" s="12">
        <f t="shared" si="11"/>
        <v>17115895.780000001</v>
      </c>
      <c r="I43" s="13"/>
      <c r="J43" s="12">
        <v>2870000</v>
      </c>
      <c r="K43" s="12">
        <v>2855823.16</v>
      </c>
      <c r="L43" s="12">
        <f t="shared" si="12"/>
        <v>14176.839999999851</v>
      </c>
      <c r="M43" s="12"/>
      <c r="N43" s="12"/>
      <c r="O43" s="12"/>
      <c r="P43" s="12">
        <f t="shared" si="13"/>
        <v>0</v>
      </c>
      <c r="Q43" s="13"/>
      <c r="R43" s="12">
        <f t="shared" si="10"/>
        <v>56472000</v>
      </c>
      <c r="S43" s="12">
        <f t="shared" si="10"/>
        <v>39341927.379999995</v>
      </c>
      <c r="T43" s="14">
        <f t="shared" si="14"/>
        <v>17130072.620000005</v>
      </c>
      <c r="U43" s="17">
        <f t="shared" si="7"/>
        <v>0.69666254745714684</v>
      </c>
    </row>
    <row r="44" spans="2:23" ht="24.95" customHeight="1">
      <c r="B44" s="18"/>
      <c r="C44" s="10"/>
      <c r="D44" s="28" t="s">
        <v>45</v>
      </c>
      <c r="E44" s="22"/>
      <c r="F44" s="12">
        <f>27943000-3825000</f>
        <v>24118000</v>
      </c>
      <c r="G44" s="12">
        <f>39481471.47+104886.42-3620000</f>
        <v>35966357.890000001</v>
      </c>
      <c r="H44" s="12">
        <f t="shared" si="11"/>
        <v>-11848357.890000001</v>
      </c>
      <c r="I44" s="13"/>
      <c r="J44" s="12">
        <v>3825000</v>
      </c>
      <c r="K44" s="12">
        <v>3620000</v>
      </c>
      <c r="L44" s="12">
        <f t="shared" si="12"/>
        <v>205000</v>
      </c>
      <c r="M44" s="12"/>
      <c r="N44" s="12">
        <v>1642985</v>
      </c>
      <c r="O44" s="12">
        <v>15119379.189999999</v>
      </c>
      <c r="P44" s="12">
        <f t="shared" si="13"/>
        <v>-13476394.189999999</v>
      </c>
      <c r="Q44" s="13"/>
      <c r="R44" s="12">
        <f t="shared" si="10"/>
        <v>29585985</v>
      </c>
      <c r="S44" s="12">
        <f t="shared" si="10"/>
        <v>54705737.079999998</v>
      </c>
      <c r="T44" s="14">
        <f t="shared" si="14"/>
        <v>-25119752.079999998</v>
      </c>
      <c r="U44" s="17">
        <f t="shared" si="7"/>
        <v>1.8490422772809489</v>
      </c>
    </row>
    <row r="45" spans="2:23" ht="24.95" customHeight="1">
      <c r="B45" s="18"/>
      <c r="C45" s="10"/>
      <c r="D45" s="29" t="s">
        <v>46</v>
      </c>
      <c r="E45" s="22"/>
      <c r="F45" s="12">
        <v>52976000</v>
      </c>
      <c r="G45" s="12">
        <v>41820107.189999998</v>
      </c>
      <c r="H45" s="12">
        <f>+F45-G45</f>
        <v>11155892.810000002</v>
      </c>
      <c r="I45" s="13"/>
      <c r="J45" s="12">
        <v>5305000</v>
      </c>
      <c r="K45" s="12">
        <v>5305000</v>
      </c>
      <c r="L45" s="12">
        <f>+J45-K45</f>
        <v>0</v>
      </c>
      <c r="M45" s="12"/>
      <c r="N45" s="12">
        <f>261003+494474+197049</f>
        <v>952526</v>
      </c>
      <c r="O45" s="12">
        <v>174123.34</v>
      </c>
      <c r="P45" s="12">
        <f>+N45-O45</f>
        <v>778402.66</v>
      </c>
      <c r="Q45" s="13"/>
      <c r="R45" s="12">
        <f>+F45+J45+N45</f>
        <v>59233526</v>
      </c>
      <c r="S45" s="12">
        <f t="shared" si="10"/>
        <v>47299230.530000001</v>
      </c>
      <c r="T45" s="14">
        <f t="shared" si="14"/>
        <v>11934295.469999999</v>
      </c>
      <c r="U45" s="17">
        <f t="shared" si="7"/>
        <v>0.79852127205798962</v>
      </c>
      <c r="W45" s="30"/>
    </row>
    <row r="46" spans="2:23" ht="24.95" customHeight="1">
      <c r="B46" s="18"/>
      <c r="C46" s="10"/>
      <c r="D46" s="25" t="s">
        <v>47</v>
      </c>
      <c r="E46" s="22"/>
      <c r="F46" s="12">
        <v>16775500</v>
      </c>
      <c r="G46" s="12">
        <v>16218845.109999999</v>
      </c>
      <c r="H46" s="12">
        <f>+F46-G46</f>
        <v>556654.8900000006</v>
      </c>
      <c r="I46" s="13"/>
      <c r="J46" s="12">
        <v>2700000</v>
      </c>
      <c r="K46" s="12">
        <v>1740357.94</v>
      </c>
      <c r="L46" s="12">
        <f>+J46-K46</f>
        <v>959642.06</v>
      </c>
      <c r="M46" s="12"/>
      <c r="N46" s="12"/>
      <c r="O46" s="12"/>
      <c r="P46" s="12">
        <f>+N46-O46</f>
        <v>0</v>
      </c>
      <c r="Q46" s="13"/>
      <c r="R46" s="12">
        <f>+F46+J46+N46</f>
        <v>19475500</v>
      </c>
      <c r="S46" s="12">
        <f t="shared" si="10"/>
        <v>17959203.050000001</v>
      </c>
      <c r="T46" s="14">
        <f t="shared" si="14"/>
        <v>1516296.9499999993</v>
      </c>
      <c r="U46" s="17">
        <f t="shared" si="7"/>
        <v>0.92214336217298665</v>
      </c>
    </row>
    <row r="47" spans="2:23" ht="27.75" customHeight="1">
      <c r="B47" s="18"/>
      <c r="C47" s="10"/>
      <c r="D47" s="10"/>
      <c r="E47" s="22"/>
      <c r="F47" s="12"/>
      <c r="G47" s="12"/>
      <c r="H47" s="12"/>
      <c r="I47" s="13"/>
      <c r="J47" s="12"/>
      <c r="K47" s="12"/>
      <c r="L47" s="12"/>
      <c r="M47" s="12"/>
      <c r="N47" s="12"/>
      <c r="O47" s="12"/>
      <c r="P47" s="12"/>
      <c r="Q47" s="13"/>
      <c r="R47" s="12"/>
      <c r="S47" s="12"/>
      <c r="T47" s="14"/>
      <c r="U47" s="17"/>
    </row>
    <row r="48" spans="2:23" ht="24.95" customHeight="1">
      <c r="B48" s="18"/>
      <c r="C48" s="24" t="s">
        <v>48</v>
      </c>
      <c r="D48" s="10"/>
      <c r="E48" s="22"/>
      <c r="F48" s="12"/>
      <c r="G48" s="12"/>
      <c r="H48" s="12"/>
      <c r="I48" s="13"/>
      <c r="J48" s="12"/>
      <c r="K48" s="12"/>
      <c r="L48" s="12"/>
      <c r="M48" s="12"/>
      <c r="N48" s="12"/>
      <c r="O48" s="12"/>
      <c r="P48" s="12"/>
      <c r="Q48" s="13"/>
      <c r="R48" s="12"/>
      <c r="S48" s="12"/>
      <c r="T48" s="14"/>
      <c r="U48" s="17"/>
    </row>
    <row r="49" spans="2:21" ht="24.95" customHeight="1">
      <c r="B49" s="18"/>
      <c r="C49" s="10"/>
      <c r="D49" s="10"/>
      <c r="E49" s="10" t="s">
        <v>49</v>
      </c>
      <c r="F49" s="12">
        <v>11306000</v>
      </c>
      <c r="G49" s="12">
        <v>25037300.859999999</v>
      </c>
      <c r="H49" s="12">
        <f>+F49-G49</f>
        <v>-13731300.859999999</v>
      </c>
      <c r="I49" s="13"/>
      <c r="J49" s="12">
        <v>4230000</v>
      </c>
      <c r="K49" s="12">
        <v>4230000</v>
      </c>
      <c r="L49" s="12">
        <f>+J49-K49</f>
        <v>0</v>
      </c>
      <c r="M49" s="12"/>
      <c r="N49" s="12"/>
      <c r="O49" s="12"/>
      <c r="P49" s="12">
        <f>+N49-O49</f>
        <v>0</v>
      </c>
      <c r="Q49" s="13"/>
      <c r="R49" s="12">
        <f>+F49+J49+N49</f>
        <v>15536000</v>
      </c>
      <c r="S49" s="12">
        <f>+G49+K49+O49</f>
        <v>29267300.859999999</v>
      </c>
      <c r="T49" s="14">
        <f>+R49-S49</f>
        <v>-13731300.859999999</v>
      </c>
      <c r="U49" s="17">
        <f t="shared" si="7"/>
        <v>1.8838375939752832</v>
      </c>
    </row>
    <row r="50" spans="2:21" ht="24.95" customHeight="1">
      <c r="B50" s="18"/>
      <c r="C50" s="10"/>
      <c r="D50" s="10"/>
      <c r="E50" s="10" t="s">
        <v>50</v>
      </c>
      <c r="F50" s="12">
        <v>32914000</v>
      </c>
      <c r="G50" s="12">
        <v>26297274.960000001</v>
      </c>
      <c r="H50" s="12">
        <f>+F50-G50</f>
        <v>6616725.0399999991</v>
      </c>
      <c r="I50" s="13"/>
      <c r="J50" s="12">
        <v>2325000</v>
      </c>
      <c r="K50" s="12">
        <v>2240000</v>
      </c>
      <c r="L50" s="12">
        <f>+J50-K50</f>
        <v>85000</v>
      </c>
      <c r="M50" s="12"/>
      <c r="N50" s="12"/>
      <c r="O50" s="12"/>
      <c r="P50" s="12">
        <f>+N50-O50</f>
        <v>0</v>
      </c>
      <c r="Q50" s="13"/>
      <c r="R50" s="12">
        <f>+F50+J50+N50</f>
        <v>35239000</v>
      </c>
      <c r="S50" s="12">
        <f>+G50+K50+O50</f>
        <v>28537274.960000001</v>
      </c>
      <c r="T50" s="14">
        <f>+R50-S50</f>
        <v>6701725.0399999991</v>
      </c>
      <c r="U50" s="17">
        <f t="shared" si="7"/>
        <v>0.80982079400664042</v>
      </c>
    </row>
    <row r="51" spans="2:21" ht="27.75" customHeight="1">
      <c r="B51" s="18"/>
      <c r="C51" s="10"/>
      <c r="D51" s="10"/>
      <c r="E51" s="31" t="s">
        <v>51</v>
      </c>
      <c r="F51" s="32">
        <f t="shared" ref="F51:T51" si="15">SUM(F13:F48)</f>
        <v>987744060.75999999</v>
      </c>
      <c r="G51" s="32">
        <f t="shared" si="15"/>
        <v>1185135090.2585709</v>
      </c>
      <c r="H51" s="32">
        <f t="shared" si="15"/>
        <v>-197391029.49857104</v>
      </c>
      <c r="I51" s="32">
        <f t="shared" si="15"/>
        <v>2208000</v>
      </c>
      <c r="J51" s="32">
        <f t="shared" si="15"/>
        <v>209245943.55000001</v>
      </c>
      <c r="K51" s="32">
        <f t="shared" si="15"/>
        <v>199078262.12</v>
      </c>
      <c r="L51" s="32">
        <f>SUM(L13:L48)</f>
        <v>10167681.43</v>
      </c>
      <c r="M51" s="32">
        <f t="shared" si="15"/>
        <v>0</v>
      </c>
      <c r="N51" s="32">
        <f t="shared" si="15"/>
        <v>52558282.710000001</v>
      </c>
      <c r="O51" s="32">
        <f t="shared" si="15"/>
        <v>68255149.150000006</v>
      </c>
      <c r="P51" s="32">
        <f>SUM(P13:P48)</f>
        <v>-15696866.439999999</v>
      </c>
      <c r="Q51" s="32">
        <f t="shared" si="15"/>
        <v>0</v>
      </c>
      <c r="R51" s="32">
        <f t="shared" si="15"/>
        <v>1249548287.02</v>
      </c>
      <c r="S51" s="32">
        <f t="shared" si="15"/>
        <v>1452468501.5285707</v>
      </c>
      <c r="T51" s="32">
        <f t="shared" si="15"/>
        <v>-202920214.50857106</v>
      </c>
      <c r="U51" s="17">
        <f t="shared" si="7"/>
        <v>1.1623948562984368</v>
      </c>
    </row>
    <row r="52" spans="2:21" ht="27.75" customHeight="1">
      <c r="B52" s="18"/>
      <c r="C52" s="10"/>
      <c r="D52" s="10"/>
      <c r="E52" s="31"/>
      <c r="F52" s="32"/>
      <c r="G52" s="32"/>
      <c r="H52" s="32"/>
      <c r="I52" s="33"/>
      <c r="J52" s="32"/>
      <c r="K52" s="32"/>
      <c r="L52" s="32"/>
      <c r="M52" s="32"/>
      <c r="N52" s="32"/>
      <c r="O52" s="32"/>
      <c r="P52" s="32"/>
      <c r="Q52" s="33"/>
      <c r="R52" s="32"/>
      <c r="S52" s="32"/>
      <c r="T52" s="34"/>
      <c r="U52" s="17"/>
    </row>
    <row r="53" spans="2:21" ht="24.95" customHeight="1">
      <c r="B53" s="18"/>
      <c r="C53" s="24" t="s">
        <v>52</v>
      </c>
      <c r="D53" s="10"/>
      <c r="E53" s="22"/>
      <c r="F53" s="12">
        <f>SUM(F55:F80)</f>
        <v>444102456</v>
      </c>
      <c r="G53" s="12">
        <f t="shared" ref="G53:T53" si="16">SUM(G55:G80)</f>
        <v>515598596.18000007</v>
      </c>
      <c r="H53" s="12">
        <f t="shared" si="16"/>
        <v>-71496140.179999992</v>
      </c>
      <c r="I53" s="12">
        <f t="shared" si="16"/>
        <v>0</v>
      </c>
      <c r="J53" s="12">
        <f>SUM(J55:J80)</f>
        <v>49615426</v>
      </c>
      <c r="K53" s="12">
        <f t="shared" ref="K53" si="17">SUM(K55:K80)</f>
        <v>95412804.099999994</v>
      </c>
      <c r="L53" s="12">
        <f>SUM(L55:L80)</f>
        <v>-45797378.099999994</v>
      </c>
      <c r="M53" s="12">
        <f t="shared" si="16"/>
        <v>0</v>
      </c>
      <c r="N53" s="12">
        <f>SUM(N55:N80)</f>
        <v>20118281</v>
      </c>
      <c r="O53" s="12">
        <f t="shared" ref="O53" si="18">SUM(O55:O80)</f>
        <v>17556732.34</v>
      </c>
      <c r="P53" s="12">
        <f>SUM(P55:P80)</f>
        <v>2561548.6599999988</v>
      </c>
      <c r="Q53" s="12">
        <f t="shared" si="16"/>
        <v>0</v>
      </c>
      <c r="R53" s="12">
        <f t="shared" si="16"/>
        <v>513836163</v>
      </c>
      <c r="S53" s="12">
        <f t="shared" si="16"/>
        <v>628568132.62</v>
      </c>
      <c r="T53" s="14">
        <f t="shared" si="16"/>
        <v>-114731969.62</v>
      </c>
      <c r="U53" s="17">
        <f>+S53/R53</f>
        <v>1.2232851205920281</v>
      </c>
    </row>
    <row r="54" spans="2:21" ht="24.95" customHeight="1">
      <c r="B54" s="18"/>
      <c r="C54" s="20" t="s">
        <v>53</v>
      </c>
      <c r="D54" s="20"/>
      <c r="E54" s="10"/>
      <c r="F54" s="12"/>
      <c r="G54" s="12"/>
      <c r="H54" s="12">
        <f t="shared" ref="H54:H59" si="19">+F54-G54</f>
        <v>0</v>
      </c>
      <c r="I54" s="13"/>
      <c r="J54" s="12"/>
      <c r="K54" s="12"/>
      <c r="L54" s="12">
        <f t="shared" ref="L54:L59" si="20">+J54-K54</f>
        <v>0</v>
      </c>
      <c r="M54" s="12"/>
      <c r="N54" s="12"/>
      <c r="O54" s="12"/>
      <c r="P54" s="12">
        <f t="shared" ref="P54:P59" si="21">+N54-O54</f>
        <v>0</v>
      </c>
      <c r="Q54" s="13"/>
      <c r="R54" s="12"/>
      <c r="S54" s="12"/>
      <c r="T54" s="14"/>
      <c r="U54" s="17"/>
    </row>
    <row r="55" spans="2:21" ht="24.95" customHeight="1">
      <c r="B55" s="18"/>
      <c r="C55" s="20"/>
      <c r="D55" s="20"/>
      <c r="E55" s="10" t="s">
        <v>54</v>
      </c>
      <c r="F55" s="35">
        <f>38303000</f>
        <v>38303000</v>
      </c>
      <c r="G55" s="36">
        <v>49496987.909999996</v>
      </c>
      <c r="H55" s="12">
        <f t="shared" si="19"/>
        <v>-11193987.909999996</v>
      </c>
      <c r="I55" s="13"/>
      <c r="J55" s="35"/>
      <c r="K55" s="36"/>
      <c r="L55" s="12">
        <f t="shared" si="20"/>
        <v>0</v>
      </c>
      <c r="M55" s="12"/>
      <c r="N55" s="35"/>
      <c r="O55" s="36"/>
      <c r="P55" s="12">
        <f t="shared" si="21"/>
        <v>0</v>
      </c>
      <c r="Q55" s="13"/>
      <c r="R55" s="12">
        <f>+F55+J55+N55</f>
        <v>38303000</v>
      </c>
      <c r="S55" s="12">
        <f t="shared" ref="R55:S59" si="22">+G55+K55+O55</f>
        <v>49496987.909999996</v>
      </c>
      <c r="T55" s="14">
        <f>+R55-S55</f>
        <v>-11193987.909999996</v>
      </c>
      <c r="U55" s="17">
        <f t="shared" si="7"/>
        <v>1.2922483332898205</v>
      </c>
    </row>
    <row r="56" spans="2:21" ht="30" customHeight="1">
      <c r="B56" s="18"/>
      <c r="C56" s="10"/>
      <c r="D56" s="10"/>
      <c r="E56" s="21" t="s">
        <v>55</v>
      </c>
      <c r="F56" s="36">
        <v>46893000</v>
      </c>
      <c r="G56" s="37">
        <v>38183525.109999999</v>
      </c>
      <c r="H56" s="12">
        <f t="shared" si="19"/>
        <v>8709474.8900000006</v>
      </c>
      <c r="I56" s="13"/>
      <c r="J56" s="36">
        <v>6990000</v>
      </c>
      <c r="K56" s="37">
        <v>6990000</v>
      </c>
      <c r="L56" s="12">
        <f t="shared" si="20"/>
        <v>0</v>
      </c>
      <c r="M56" s="38"/>
      <c r="N56" s="36">
        <v>1593096</v>
      </c>
      <c r="O56" s="37">
        <v>1593096</v>
      </c>
      <c r="P56" s="12">
        <f t="shared" si="21"/>
        <v>0</v>
      </c>
      <c r="Q56" s="39"/>
      <c r="R56" s="38">
        <f t="shared" si="22"/>
        <v>55476096</v>
      </c>
      <c r="S56" s="38">
        <f t="shared" si="22"/>
        <v>46766621.109999999</v>
      </c>
      <c r="T56" s="40">
        <f>+R56-S56</f>
        <v>8709474.8900000006</v>
      </c>
      <c r="U56" s="17">
        <f t="shared" si="7"/>
        <v>0.84300490629333402</v>
      </c>
    </row>
    <row r="57" spans="2:21" ht="30" customHeight="1">
      <c r="B57" s="18"/>
      <c r="C57" s="10"/>
      <c r="D57" s="10"/>
      <c r="E57" s="21" t="s">
        <v>56</v>
      </c>
      <c r="F57" s="12">
        <f>14474000</f>
        <v>14474000</v>
      </c>
      <c r="G57" s="12">
        <f>13847503.42-655000</f>
        <v>13192503.42</v>
      </c>
      <c r="H57" s="12">
        <f t="shared" si="19"/>
        <v>1281496.58</v>
      </c>
      <c r="I57" s="13"/>
      <c r="J57" s="12">
        <f>655000+350000</f>
        <v>1005000</v>
      </c>
      <c r="K57" s="12">
        <f>655000</f>
        <v>655000</v>
      </c>
      <c r="L57" s="12">
        <f t="shared" si="20"/>
        <v>350000</v>
      </c>
      <c r="M57" s="12"/>
      <c r="N57" s="12">
        <v>837119</v>
      </c>
      <c r="O57" s="12"/>
      <c r="P57" s="12">
        <f t="shared" si="21"/>
        <v>837119</v>
      </c>
      <c r="Q57" s="13"/>
      <c r="R57" s="12">
        <f t="shared" si="22"/>
        <v>16316119</v>
      </c>
      <c r="S57" s="12">
        <f t="shared" si="22"/>
        <v>13847503.42</v>
      </c>
      <c r="T57" s="14">
        <f>+R57-S57</f>
        <v>2468615.58</v>
      </c>
      <c r="U57" s="17">
        <f t="shared" si="7"/>
        <v>0.84870081052975899</v>
      </c>
    </row>
    <row r="58" spans="2:21" ht="24.95" customHeight="1">
      <c r="B58" s="18"/>
      <c r="C58" s="10"/>
      <c r="D58" s="10"/>
      <c r="E58" s="28" t="s">
        <v>57</v>
      </c>
      <c r="F58" s="12">
        <v>1494000</v>
      </c>
      <c r="G58" s="12">
        <v>1499158.45</v>
      </c>
      <c r="H58" s="12">
        <f t="shared" si="19"/>
        <v>-5158.4499999999534</v>
      </c>
      <c r="I58" s="13"/>
      <c r="J58" s="12">
        <v>413500</v>
      </c>
      <c r="K58" s="12">
        <v>413500</v>
      </c>
      <c r="L58" s="12">
        <f t="shared" si="20"/>
        <v>0</v>
      </c>
      <c r="M58" s="12"/>
      <c r="N58" s="12">
        <v>1475000</v>
      </c>
      <c r="O58" s="12">
        <v>6373343.2600000007</v>
      </c>
      <c r="P58" s="12">
        <f t="shared" si="21"/>
        <v>-4898343.2600000007</v>
      </c>
      <c r="Q58" s="13"/>
      <c r="R58" s="12">
        <f t="shared" si="22"/>
        <v>3382500</v>
      </c>
      <c r="S58" s="12">
        <f t="shared" si="22"/>
        <v>8286001.7100000009</v>
      </c>
      <c r="T58" s="14">
        <f>+R58-S58</f>
        <v>-4903501.7100000009</v>
      </c>
      <c r="U58" s="17">
        <f t="shared" si="7"/>
        <v>2.4496679113082043</v>
      </c>
    </row>
    <row r="59" spans="2:21" ht="29.25" customHeight="1">
      <c r="B59" s="18"/>
      <c r="C59" s="10"/>
      <c r="D59" s="10"/>
      <c r="E59" s="21" t="s">
        <v>58</v>
      </c>
      <c r="F59" s="12">
        <v>13790000</v>
      </c>
      <c r="G59" s="12">
        <v>9107000.7200000007</v>
      </c>
      <c r="H59" s="12">
        <f t="shared" si="19"/>
        <v>4682999.2799999993</v>
      </c>
      <c r="I59" s="13"/>
      <c r="J59" s="12">
        <v>310000</v>
      </c>
      <c r="K59" s="12">
        <v>310000</v>
      </c>
      <c r="L59" s="12">
        <f t="shared" si="20"/>
        <v>0</v>
      </c>
      <c r="M59" s="12"/>
      <c r="N59" s="12"/>
      <c r="O59" s="12"/>
      <c r="P59" s="12">
        <f t="shared" si="21"/>
        <v>0</v>
      </c>
      <c r="Q59" s="13"/>
      <c r="R59" s="12">
        <f t="shared" si="22"/>
        <v>14100000</v>
      </c>
      <c r="S59" s="12">
        <f t="shared" si="22"/>
        <v>9417000.7200000007</v>
      </c>
      <c r="T59" s="14">
        <f>+R59-S59</f>
        <v>4682999.2799999993</v>
      </c>
      <c r="U59" s="17">
        <f t="shared" si="7"/>
        <v>0.66787239148936173</v>
      </c>
    </row>
    <row r="60" spans="2:21" ht="24.95" customHeight="1">
      <c r="B60" s="18"/>
      <c r="C60" s="10"/>
      <c r="D60" s="10"/>
      <c r="E60" s="21"/>
      <c r="F60" s="12"/>
      <c r="G60" s="12"/>
      <c r="H60" s="12"/>
      <c r="I60" s="13"/>
      <c r="J60" s="12"/>
      <c r="K60" s="12"/>
      <c r="L60" s="12"/>
      <c r="M60" s="12"/>
      <c r="N60" s="12"/>
      <c r="O60" s="12"/>
      <c r="P60" s="12"/>
      <c r="Q60" s="13"/>
      <c r="R60" s="12"/>
      <c r="S60" s="12"/>
      <c r="T60" s="14"/>
      <c r="U60" s="17"/>
    </row>
    <row r="61" spans="2:21" ht="24.95" customHeight="1">
      <c r="B61" s="18"/>
      <c r="C61" s="20" t="s">
        <v>59</v>
      </c>
      <c r="D61" s="20"/>
      <c r="E61" s="10"/>
      <c r="F61" s="12"/>
      <c r="G61" s="12"/>
      <c r="H61" s="12"/>
      <c r="I61" s="13"/>
      <c r="J61" s="12"/>
      <c r="K61" s="12"/>
      <c r="L61" s="12"/>
      <c r="M61" s="12"/>
      <c r="N61" s="12"/>
      <c r="O61" s="12"/>
      <c r="P61" s="12"/>
      <c r="Q61" s="13"/>
      <c r="R61" s="12"/>
      <c r="S61" s="12"/>
      <c r="T61" s="14"/>
      <c r="U61" s="17"/>
    </row>
    <row r="62" spans="2:21" ht="24.95" customHeight="1">
      <c r="B62" s="18"/>
      <c r="C62" s="20"/>
      <c r="D62" s="20"/>
      <c r="E62" s="10" t="s">
        <v>60</v>
      </c>
      <c r="F62" s="12">
        <v>19640722</v>
      </c>
      <c r="G62" s="12">
        <v>86325051.540000007</v>
      </c>
      <c r="H62" s="12">
        <f>+F62-G62</f>
        <v>-66684329.540000007</v>
      </c>
      <c r="I62" s="13"/>
      <c r="J62" s="12">
        <v>1600000</v>
      </c>
      <c r="K62" s="12">
        <v>1600000</v>
      </c>
      <c r="L62" s="12">
        <f>+J62-K62</f>
        <v>0</v>
      </c>
      <c r="M62" s="12"/>
      <c r="N62" s="12"/>
      <c r="O62" s="12"/>
      <c r="P62" s="12">
        <f>+N62-O62</f>
        <v>0</v>
      </c>
      <c r="Q62" s="13"/>
      <c r="R62" s="12">
        <f t="shared" ref="R62:S65" si="23">+F62+J62+N62</f>
        <v>21240722</v>
      </c>
      <c r="S62" s="12">
        <f t="shared" si="23"/>
        <v>87925051.540000007</v>
      </c>
      <c r="T62" s="14">
        <f>+R62-S62</f>
        <v>-66684329.540000007</v>
      </c>
      <c r="U62" s="17">
        <f t="shared" si="7"/>
        <v>4.1394568197823034</v>
      </c>
    </row>
    <row r="63" spans="2:21" ht="30" customHeight="1">
      <c r="B63" s="18"/>
      <c r="C63" s="10"/>
      <c r="D63" s="10"/>
      <c r="E63" s="21" t="s">
        <v>61</v>
      </c>
      <c r="F63" s="12">
        <v>12428114</v>
      </c>
      <c r="G63" s="12">
        <v>35358012.57</v>
      </c>
      <c r="H63" s="12">
        <f>+F63-G63</f>
        <v>-22929898.57</v>
      </c>
      <c r="I63" s="13"/>
      <c r="J63" s="12">
        <f>10500000+1505000</f>
        <v>12005000</v>
      </c>
      <c r="K63" s="12">
        <f>10500000+1505000</f>
        <v>12005000</v>
      </c>
      <c r="L63" s="12">
        <f>+J63-K63</f>
        <v>0</v>
      </c>
      <c r="M63" s="12"/>
      <c r="N63" s="12">
        <v>2677849</v>
      </c>
      <c r="O63" s="12">
        <v>2848791.43</v>
      </c>
      <c r="P63" s="12">
        <f>+N63-O63</f>
        <v>-170942.43000000017</v>
      </c>
      <c r="Q63" s="13"/>
      <c r="R63" s="12">
        <f t="shared" si="23"/>
        <v>27110963</v>
      </c>
      <c r="S63" s="12">
        <f t="shared" si="23"/>
        <v>50211804</v>
      </c>
      <c r="T63" s="14">
        <f>+R63-S63</f>
        <v>-23100841</v>
      </c>
      <c r="U63" s="17">
        <f t="shared" si="7"/>
        <v>1.85208485585702</v>
      </c>
    </row>
    <row r="64" spans="2:21" ht="30" customHeight="1">
      <c r="B64" s="18"/>
      <c r="C64" s="10"/>
      <c r="D64" s="10"/>
      <c r="E64" s="22" t="s">
        <v>62</v>
      </c>
      <c r="F64" s="12">
        <v>16822316</v>
      </c>
      <c r="G64" s="12">
        <v>21670543.210000001</v>
      </c>
      <c r="H64" s="12">
        <f>+F64-G64</f>
        <v>-4848227.2100000009</v>
      </c>
      <c r="I64" s="13"/>
      <c r="J64" s="12">
        <v>7433428</v>
      </c>
      <c r="K64" s="12">
        <v>7433428</v>
      </c>
      <c r="L64" s="12">
        <f>+J64-K64</f>
        <v>0</v>
      </c>
      <c r="M64" s="12"/>
      <c r="N64" s="12"/>
      <c r="O64" s="12"/>
      <c r="P64" s="12">
        <f>+N64-O64</f>
        <v>0</v>
      </c>
      <c r="Q64" s="13"/>
      <c r="R64" s="12">
        <f t="shared" si="23"/>
        <v>24255744</v>
      </c>
      <c r="S64" s="12">
        <f t="shared" si="23"/>
        <v>29103971.210000001</v>
      </c>
      <c r="T64" s="14">
        <f>+R64-S64</f>
        <v>-4848227.2100000009</v>
      </c>
      <c r="U64" s="17">
        <f t="shared" si="7"/>
        <v>1.1998795505922226</v>
      </c>
    </row>
    <row r="65" spans="2:21" ht="30" customHeight="1">
      <c r="B65" s="18"/>
      <c r="C65" s="10"/>
      <c r="D65" s="10"/>
      <c r="E65" s="21" t="s">
        <v>63</v>
      </c>
      <c r="F65" s="12">
        <v>16512393</v>
      </c>
      <c r="G65" s="12">
        <v>16555268.91</v>
      </c>
      <c r="H65" s="12">
        <f>+F65-G65</f>
        <v>-42875.910000000149</v>
      </c>
      <c r="I65" s="13"/>
      <c r="J65" s="12">
        <f>3440452-285000</f>
        <v>3155452</v>
      </c>
      <c r="K65" s="12">
        <v>3155451.08</v>
      </c>
      <c r="L65" s="12">
        <f>+J65-K65</f>
        <v>0.91999999992549419</v>
      </c>
      <c r="M65" s="12"/>
      <c r="N65" s="12">
        <v>894048</v>
      </c>
      <c r="O65" s="12">
        <v>894047.97</v>
      </c>
      <c r="P65" s="12">
        <f>+N65-O65</f>
        <v>3.0000000027939677E-2</v>
      </c>
      <c r="Q65" s="13"/>
      <c r="R65" s="12">
        <f t="shared" si="23"/>
        <v>20561893</v>
      </c>
      <c r="S65" s="12">
        <f t="shared" si="23"/>
        <v>20604767.960000001</v>
      </c>
      <c r="T65" s="14">
        <f>+R65-S65</f>
        <v>-42874.960000000894</v>
      </c>
      <c r="U65" s="17">
        <f t="shared" si="7"/>
        <v>1.0020851659912831</v>
      </c>
    </row>
    <row r="66" spans="2:21" ht="24.95" customHeight="1">
      <c r="B66" s="18"/>
      <c r="C66" s="10"/>
      <c r="D66" s="10"/>
      <c r="E66" s="21"/>
      <c r="F66" s="12"/>
      <c r="G66" s="12"/>
      <c r="H66" s="12"/>
      <c r="I66" s="13"/>
      <c r="J66" s="12"/>
      <c r="K66" s="12"/>
      <c r="L66" s="12"/>
      <c r="M66" s="12"/>
      <c r="N66" s="12"/>
      <c r="O66" s="12"/>
      <c r="P66" s="12"/>
      <c r="Q66" s="13"/>
      <c r="R66" s="12"/>
      <c r="S66" s="12"/>
      <c r="T66" s="14"/>
      <c r="U66" s="17"/>
    </row>
    <row r="67" spans="2:21" ht="24.95" customHeight="1">
      <c r="B67" s="18"/>
      <c r="C67" s="20" t="s">
        <v>64</v>
      </c>
      <c r="D67" s="20"/>
      <c r="E67" s="10"/>
      <c r="F67" s="12"/>
      <c r="G67" s="12"/>
      <c r="H67" s="12"/>
      <c r="I67" s="13"/>
      <c r="J67" s="12"/>
      <c r="K67" s="12"/>
      <c r="L67" s="12"/>
      <c r="M67" s="12"/>
      <c r="N67" s="12"/>
      <c r="O67" s="12"/>
      <c r="P67" s="12"/>
      <c r="Q67" s="13"/>
      <c r="R67" s="12"/>
      <c r="S67" s="12"/>
      <c r="T67" s="14"/>
      <c r="U67" s="17"/>
    </row>
    <row r="68" spans="2:21" ht="24.95" customHeight="1">
      <c r="B68" s="18"/>
      <c r="C68" s="20"/>
      <c r="D68" s="20"/>
      <c r="E68" s="10" t="s">
        <v>65</v>
      </c>
      <c r="F68" s="12">
        <v>23948000</v>
      </c>
      <c r="G68" s="12">
        <v>23941608.789999999</v>
      </c>
      <c r="H68" s="12">
        <f>+F68-G68</f>
        <v>6391.2100000008941</v>
      </c>
      <c r="I68" s="13"/>
      <c r="J68" s="12">
        <v>1655000</v>
      </c>
      <c r="K68" s="12">
        <v>47609187.520000003</v>
      </c>
      <c r="L68" s="12">
        <f>+J68-K68</f>
        <v>-45954187.520000003</v>
      </c>
      <c r="M68" s="12"/>
      <c r="N68" s="12">
        <v>3906844</v>
      </c>
      <c r="O68" s="12">
        <v>3759142.44</v>
      </c>
      <c r="P68" s="12">
        <f>+N68-O68</f>
        <v>147701.56000000006</v>
      </c>
      <c r="Q68" s="13"/>
      <c r="R68" s="12">
        <f t="shared" ref="R68:S72" si="24">+F68+J68+N68</f>
        <v>29509844</v>
      </c>
      <c r="S68" s="12">
        <f t="shared" si="24"/>
        <v>75309938.75</v>
      </c>
      <c r="T68" s="14">
        <f>+R68-S68</f>
        <v>-45800094.75</v>
      </c>
      <c r="U68" s="17">
        <f t="shared" si="7"/>
        <v>2.5520276810002791</v>
      </c>
    </row>
    <row r="69" spans="2:21" ht="30.75" customHeight="1">
      <c r="B69" s="18"/>
      <c r="C69" s="10"/>
      <c r="D69" s="10"/>
      <c r="E69" s="21" t="s">
        <v>66</v>
      </c>
      <c r="F69" s="12">
        <v>69585664</v>
      </c>
      <c r="G69" s="12">
        <v>23666495.719999999</v>
      </c>
      <c r="H69" s="12">
        <f>+F69-G69</f>
        <v>45919168.280000001</v>
      </c>
      <c r="I69" s="13"/>
      <c r="J69" s="12">
        <v>5543046</v>
      </c>
      <c r="K69" s="12">
        <v>5260544.76</v>
      </c>
      <c r="L69" s="12">
        <f>+J69-K69</f>
        <v>282501.24000000022</v>
      </c>
      <c r="M69" s="12"/>
      <c r="N69" s="12">
        <v>1029840</v>
      </c>
      <c r="O69" s="12">
        <v>1029839.51</v>
      </c>
      <c r="P69" s="12">
        <f>+N69-O69</f>
        <v>0.48999999999068677</v>
      </c>
      <c r="Q69" s="13"/>
      <c r="R69" s="12">
        <f t="shared" si="24"/>
        <v>76158550</v>
      </c>
      <c r="S69" s="12">
        <f t="shared" si="24"/>
        <v>29956879.989999998</v>
      </c>
      <c r="T69" s="14">
        <f>+R69-S69</f>
        <v>46201670.010000005</v>
      </c>
      <c r="U69" s="17">
        <f t="shared" si="7"/>
        <v>0.39334887533966967</v>
      </c>
    </row>
    <row r="70" spans="2:21" ht="30.75" customHeight="1">
      <c r="B70" s="18"/>
      <c r="C70" s="10"/>
      <c r="D70" s="10"/>
      <c r="E70" s="21" t="s">
        <v>67</v>
      </c>
      <c r="F70" s="12">
        <v>12100000</v>
      </c>
      <c r="G70" s="12">
        <v>12859179.539999999</v>
      </c>
      <c r="H70" s="12">
        <f>+F70-G70</f>
        <v>-759179.53999999911</v>
      </c>
      <c r="I70" s="13"/>
      <c r="J70" s="12">
        <v>1795000</v>
      </c>
      <c r="K70" s="12">
        <v>1795000</v>
      </c>
      <c r="L70" s="12">
        <f>+J70-K70</f>
        <v>0</v>
      </c>
      <c r="M70" s="12"/>
      <c r="N70" s="12">
        <v>590033</v>
      </c>
      <c r="O70" s="12">
        <v>673019.96</v>
      </c>
      <c r="P70" s="12">
        <f>+N70-O70</f>
        <v>-82986.959999999963</v>
      </c>
      <c r="Q70" s="13"/>
      <c r="R70" s="12">
        <f t="shared" si="24"/>
        <v>14485033</v>
      </c>
      <c r="S70" s="12">
        <f t="shared" si="24"/>
        <v>15327199.5</v>
      </c>
      <c r="T70" s="14">
        <f>+R70-S70</f>
        <v>-842166.5</v>
      </c>
      <c r="U70" s="17">
        <f t="shared" si="7"/>
        <v>1.0581404612609444</v>
      </c>
    </row>
    <row r="71" spans="2:21" ht="30.75" customHeight="1">
      <c r="B71" s="18"/>
      <c r="C71" s="10"/>
      <c r="D71" s="10"/>
      <c r="E71" s="22" t="s">
        <v>68</v>
      </c>
      <c r="F71" s="12">
        <v>5265164</v>
      </c>
      <c r="G71" s="12">
        <v>5260247.8</v>
      </c>
      <c r="H71" s="12">
        <f>+F71-G71</f>
        <v>4916.2000000001863</v>
      </c>
      <c r="I71" s="13"/>
      <c r="J71" s="12">
        <v>395000</v>
      </c>
      <c r="K71" s="12">
        <v>395000</v>
      </c>
      <c r="L71" s="12">
        <f>+J71-K71</f>
        <v>0</v>
      </c>
      <c r="M71" s="12"/>
      <c r="N71" s="12"/>
      <c r="O71" s="12"/>
      <c r="P71" s="12">
        <f>+N71-O71</f>
        <v>0</v>
      </c>
      <c r="Q71" s="13"/>
      <c r="R71" s="12">
        <f t="shared" si="24"/>
        <v>5660164</v>
      </c>
      <c r="S71" s="12">
        <f t="shared" si="24"/>
        <v>5655247.7999999998</v>
      </c>
      <c r="T71" s="14">
        <f>+R71-S71</f>
        <v>4916.2000000001863</v>
      </c>
      <c r="U71" s="17">
        <f t="shared" si="7"/>
        <v>0.99913143859435871</v>
      </c>
    </row>
    <row r="72" spans="2:21" ht="24.95" customHeight="1">
      <c r="B72" s="18"/>
      <c r="C72" s="10"/>
      <c r="D72" s="10"/>
      <c r="E72" s="41" t="s">
        <v>69</v>
      </c>
      <c r="F72" s="12">
        <v>4788000</v>
      </c>
      <c r="G72" s="12">
        <v>4727679.95</v>
      </c>
      <c r="H72" s="12">
        <f>+F72-G72</f>
        <v>60320.049999999814</v>
      </c>
      <c r="I72" s="13"/>
      <c r="J72" s="12">
        <v>1110000</v>
      </c>
      <c r="K72" s="12">
        <v>540000</v>
      </c>
      <c r="L72" s="12">
        <f>+J72-K72</f>
        <v>570000</v>
      </c>
      <c r="M72" s="12"/>
      <c r="N72" s="12">
        <v>6729000</v>
      </c>
      <c r="O72" s="12"/>
      <c r="P72" s="12">
        <f>+N72-O72</f>
        <v>6729000</v>
      </c>
      <c r="Q72" s="13"/>
      <c r="R72" s="12">
        <f t="shared" si="24"/>
        <v>12627000</v>
      </c>
      <c r="S72" s="12">
        <f t="shared" si="24"/>
        <v>5267679.95</v>
      </c>
      <c r="T72" s="14">
        <f>+R72-S72</f>
        <v>7359320.0499999998</v>
      </c>
      <c r="U72" s="17">
        <f t="shared" si="7"/>
        <v>0.41717588896808427</v>
      </c>
    </row>
    <row r="73" spans="2:21" ht="24.95" customHeight="1">
      <c r="B73" s="18"/>
      <c r="C73" s="10"/>
      <c r="D73" s="10"/>
      <c r="E73" s="41"/>
      <c r="F73" s="12"/>
      <c r="G73" s="12"/>
      <c r="H73" s="12"/>
      <c r="I73" s="13"/>
      <c r="J73" s="12"/>
      <c r="K73" s="12"/>
      <c r="L73" s="12"/>
      <c r="M73" s="12"/>
      <c r="N73" s="12"/>
      <c r="O73" s="12"/>
      <c r="P73" s="12"/>
      <c r="Q73" s="13"/>
      <c r="R73" s="12"/>
      <c r="S73" s="12"/>
      <c r="T73" s="14"/>
      <c r="U73" s="17"/>
    </row>
    <row r="74" spans="2:21" ht="24.95" customHeight="1">
      <c r="B74" s="18"/>
      <c r="C74" s="20" t="s">
        <v>70</v>
      </c>
      <c r="D74" s="20"/>
      <c r="E74" s="10"/>
      <c r="F74" s="12"/>
      <c r="G74" s="12"/>
      <c r="H74" s="12"/>
      <c r="I74" s="13"/>
      <c r="J74" s="12"/>
      <c r="K74" s="12"/>
      <c r="L74" s="12"/>
      <c r="M74" s="12"/>
      <c r="N74" s="12"/>
      <c r="O74" s="12"/>
      <c r="P74" s="12"/>
      <c r="Q74" s="13"/>
      <c r="R74" s="12"/>
      <c r="S74" s="12"/>
      <c r="T74" s="14"/>
      <c r="U74" s="17"/>
    </row>
    <row r="75" spans="2:21" ht="24.95" customHeight="1">
      <c r="B75" s="18"/>
      <c r="C75" s="20"/>
      <c r="D75" s="20"/>
      <c r="E75" s="10" t="s">
        <v>71</v>
      </c>
      <c r="F75" s="12">
        <v>7161000</v>
      </c>
      <c r="G75" s="12">
        <v>61757236.079999998</v>
      </c>
      <c r="H75" s="12">
        <f t="shared" ref="H75:H80" si="25">+F75-G75</f>
        <v>-54596236.079999998</v>
      </c>
      <c r="I75" s="13"/>
      <c r="J75" s="12">
        <v>1405000</v>
      </c>
      <c r="K75" s="12">
        <v>2826649.41</v>
      </c>
      <c r="L75" s="12">
        <f t="shared" ref="L75:L80" si="26">+J75-K75</f>
        <v>-1421649.4100000001</v>
      </c>
      <c r="M75" s="12"/>
      <c r="N75" s="12"/>
      <c r="O75" s="12"/>
      <c r="P75" s="12">
        <f t="shared" ref="P75:P80" si="27">+N75-O75</f>
        <v>0</v>
      </c>
      <c r="Q75" s="13"/>
      <c r="R75" s="12">
        <f t="shared" ref="R75:S80" si="28">+F75+J75+N75</f>
        <v>8566000</v>
      </c>
      <c r="S75" s="12">
        <f t="shared" si="28"/>
        <v>64583885.489999995</v>
      </c>
      <c r="T75" s="14">
        <f t="shared" ref="T75:T80" si="29">+R75-S75</f>
        <v>-56017885.489999995</v>
      </c>
      <c r="U75" s="17">
        <f t="shared" ref="U75:U137" si="30">+S75/R75</f>
        <v>7.539561696240952</v>
      </c>
    </row>
    <row r="76" spans="2:21" ht="28.5" customHeight="1">
      <c r="B76" s="18"/>
      <c r="C76" s="10"/>
      <c r="D76" s="10"/>
      <c r="E76" s="21" t="s">
        <v>72</v>
      </c>
      <c r="F76" s="12">
        <v>29986083</v>
      </c>
      <c r="G76" s="12">
        <v>29984435.129999999</v>
      </c>
      <c r="H76" s="12">
        <f t="shared" si="25"/>
        <v>1647.8700000010431</v>
      </c>
      <c r="I76" s="13"/>
      <c r="J76" s="12">
        <v>2840000</v>
      </c>
      <c r="K76" s="12">
        <v>2567500</v>
      </c>
      <c r="L76" s="12">
        <f t="shared" si="26"/>
        <v>272500</v>
      </c>
      <c r="M76" s="12"/>
      <c r="N76" s="12"/>
      <c r="O76" s="12"/>
      <c r="P76" s="12">
        <f t="shared" si="27"/>
        <v>0</v>
      </c>
      <c r="Q76" s="13"/>
      <c r="R76" s="12">
        <f t="shared" si="28"/>
        <v>32826083</v>
      </c>
      <c r="S76" s="12">
        <f t="shared" si="28"/>
        <v>32551935.129999999</v>
      </c>
      <c r="T76" s="14">
        <f t="shared" si="29"/>
        <v>274147.87000000104</v>
      </c>
      <c r="U76" s="17">
        <f t="shared" si="30"/>
        <v>0.99164847447683602</v>
      </c>
    </row>
    <row r="77" spans="2:21" ht="28.5" customHeight="1">
      <c r="B77" s="18"/>
      <c r="C77" s="10"/>
      <c r="D77" s="10"/>
      <c r="E77" s="21" t="s">
        <v>73</v>
      </c>
      <c r="F77" s="12">
        <v>1769000</v>
      </c>
      <c r="G77" s="12">
        <v>3526983.04</v>
      </c>
      <c r="H77" s="12">
        <f t="shared" si="25"/>
        <v>-1757983.04</v>
      </c>
      <c r="I77" s="13"/>
      <c r="J77" s="12">
        <v>295000</v>
      </c>
      <c r="K77" s="12">
        <v>280000</v>
      </c>
      <c r="L77" s="12">
        <f t="shared" si="26"/>
        <v>15000</v>
      </c>
      <c r="M77" s="12"/>
      <c r="N77" s="12"/>
      <c r="O77" s="12"/>
      <c r="P77" s="12">
        <f t="shared" si="27"/>
        <v>0</v>
      </c>
      <c r="Q77" s="13"/>
      <c r="R77" s="12">
        <f t="shared" si="28"/>
        <v>2064000</v>
      </c>
      <c r="S77" s="12">
        <f t="shared" si="28"/>
        <v>3806983.04</v>
      </c>
      <c r="T77" s="14">
        <f t="shared" si="29"/>
        <v>-1742983.04</v>
      </c>
      <c r="U77" s="17">
        <f t="shared" si="30"/>
        <v>1.8444685271317829</v>
      </c>
    </row>
    <row r="78" spans="2:21" ht="28.5" customHeight="1">
      <c r="B78" s="18"/>
      <c r="C78" s="10"/>
      <c r="D78" s="10"/>
      <c r="E78" s="21" t="s">
        <v>74</v>
      </c>
      <c r="F78" s="12">
        <v>90192000</v>
      </c>
      <c r="G78" s="12">
        <v>61821810.490000002</v>
      </c>
      <c r="H78" s="12">
        <f t="shared" si="25"/>
        <v>28370189.509999998</v>
      </c>
      <c r="I78" s="13"/>
      <c r="J78" s="12"/>
      <c r="K78" s="12"/>
      <c r="L78" s="12">
        <f t="shared" si="26"/>
        <v>0</v>
      </c>
      <c r="M78" s="12"/>
      <c r="N78" s="12"/>
      <c r="O78" s="12"/>
      <c r="P78" s="12">
        <f t="shared" si="27"/>
        <v>0</v>
      </c>
      <c r="Q78" s="13"/>
      <c r="R78" s="12">
        <f t="shared" si="28"/>
        <v>90192000</v>
      </c>
      <c r="S78" s="12">
        <f t="shared" si="28"/>
        <v>61821810.490000002</v>
      </c>
      <c r="T78" s="14">
        <f t="shared" si="29"/>
        <v>28370189.509999998</v>
      </c>
      <c r="U78" s="17">
        <f t="shared" si="30"/>
        <v>0.68544671911034238</v>
      </c>
    </row>
    <row r="79" spans="2:21" ht="24.95" customHeight="1">
      <c r="B79" s="18"/>
      <c r="C79" s="10"/>
      <c r="D79" s="10"/>
      <c r="E79" s="28" t="s">
        <v>75</v>
      </c>
      <c r="F79" s="12">
        <v>9167000</v>
      </c>
      <c r="G79" s="12">
        <v>6378724.3200000003</v>
      </c>
      <c r="H79" s="12">
        <f t="shared" si="25"/>
        <v>2788275.6799999997</v>
      </c>
      <c r="I79" s="13"/>
      <c r="J79" s="12">
        <v>515000</v>
      </c>
      <c r="K79" s="12">
        <v>429043.33</v>
      </c>
      <c r="L79" s="12">
        <f t="shared" si="26"/>
        <v>85956.669999999984</v>
      </c>
      <c r="M79" s="12"/>
      <c r="N79" s="12"/>
      <c r="O79" s="12"/>
      <c r="P79" s="12">
        <f t="shared" si="27"/>
        <v>0</v>
      </c>
      <c r="Q79" s="13"/>
      <c r="R79" s="12">
        <f t="shared" si="28"/>
        <v>9682000</v>
      </c>
      <c r="S79" s="12">
        <f t="shared" si="28"/>
        <v>6807767.6500000004</v>
      </c>
      <c r="T79" s="14">
        <f t="shared" si="29"/>
        <v>2874232.3499999996</v>
      </c>
      <c r="U79" s="17">
        <f t="shared" si="30"/>
        <v>0.70313650588721344</v>
      </c>
    </row>
    <row r="80" spans="2:21" ht="24.95" customHeight="1">
      <c r="B80" s="18"/>
      <c r="C80" s="10"/>
      <c r="D80" s="10"/>
      <c r="E80" s="22" t="s">
        <v>76</v>
      </c>
      <c r="F80" s="12">
        <f>10933000-1150000</f>
        <v>9783000</v>
      </c>
      <c r="G80" s="12">
        <f>11433643.48-1147500</f>
        <v>10286143.48</v>
      </c>
      <c r="H80" s="12">
        <f t="shared" si="25"/>
        <v>-503143.48000000045</v>
      </c>
      <c r="I80" s="13"/>
      <c r="J80" s="12">
        <v>1150000</v>
      </c>
      <c r="K80" s="12">
        <v>1147500</v>
      </c>
      <c r="L80" s="12">
        <f t="shared" si="26"/>
        <v>2500</v>
      </c>
      <c r="M80" s="12"/>
      <c r="N80" s="12">
        <v>385452</v>
      </c>
      <c r="O80" s="12">
        <v>385451.77</v>
      </c>
      <c r="P80" s="12">
        <f t="shared" si="27"/>
        <v>0.22999999998137355</v>
      </c>
      <c r="Q80" s="13"/>
      <c r="R80" s="12">
        <f t="shared" si="28"/>
        <v>11318452</v>
      </c>
      <c r="S80" s="12">
        <f t="shared" si="28"/>
        <v>11819095.25</v>
      </c>
      <c r="T80" s="14">
        <f t="shared" si="29"/>
        <v>-500643.25</v>
      </c>
      <c r="U80" s="17">
        <f t="shared" si="30"/>
        <v>1.0442324842655162</v>
      </c>
    </row>
    <row r="81" spans="2:21" ht="27.75" customHeight="1">
      <c r="B81" s="18"/>
      <c r="C81" s="10"/>
      <c r="D81" s="10"/>
      <c r="E81" s="31" t="s">
        <v>51</v>
      </c>
      <c r="F81" s="32">
        <f>SUM(F55:F80)</f>
        <v>444102456</v>
      </c>
      <c r="G81" s="32">
        <f t="shared" ref="G81:S81" si="31">SUM(G55:G80)</f>
        <v>515598596.18000007</v>
      </c>
      <c r="H81" s="32">
        <f t="shared" si="31"/>
        <v>-71496140.179999992</v>
      </c>
      <c r="I81" s="32">
        <f t="shared" si="31"/>
        <v>0</v>
      </c>
      <c r="J81" s="32">
        <f>SUM(J55:J80)</f>
        <v>49615426</v>
      </c>
      <c r="K81" s="32">
        <f t="shared" ref="K81" si="32">SUM(K55:K80)</f>
        <v>95412804.099999994</v>
      </c>
      <c r="L81" s="32">
        <f>SUM(L55:L80)</f>
        <v>-45797378.099999994</v>
      </c>
      <c r="M81" s="32">
        <f t="shared" si="31"/>
        <v>0</v>
      </c>
      <c r="N81" s="32">
        <f>SUM(N55:N80)</f>
        <v>20118281</v>
      </c>
      <c r="O81" s="32">
        <f t="shared" ref="O81" si="33">SUM(O55:O80)</f>
        <v>17556732.34</v>
      </c>
      <c r="P81" s="32">
        <f>SUM(P55:P80)</f>
        <v>2561548.6599999988</v>
      </c>
      <c r="Q81" s="32">
        <f t="shared" si="31"/>
        <v>0</v>
      </c>
      <c r="R81" s="32">
        <f t="shared" si="31"/>
        <v>513836163</v>
      </c>
      <c r="S81" s="32">
        <f t="shared" si="31"/>
        <v>628568132.62</v>
      </c>
      <c r="T81" s="34">
        <f>SUM(T55:T80)</f>
        <v>-114731969.62</v>
      </c>
      <c r="U81" s="17">
        <f t="shared" si="30"/>
        <v>1.2232851205920281</v>
      </c>
    </row>
    <row r="82" spans="2:21" ht="24.95" customHeight="1">
      <c r="B82" s="18"/>
      <c r="C82" s="10"/>
      <c r="D82" s="10"/>
      <c r="E82" s="22"/>
      <c r="F82" s="12"/>
      <c r="G82" s="12"/>
      <c r="H82" s="12"/>
      <c r="I82" s="13"/>
      <c r="J82" s="12"/>
      <c r="K82" s="12"/>
      <c r="L82" s="12"/>
      <c r="M82" s="12"/>
      <c r="N82" s="12"/>
      <c r="O82" s="12"/>
      <c r="P82" s="12"/>
      <c r="Q82" s="13"/>
      <c r="R82" s="12"/>
      <c r="S82" s="12"/>
      <c r="T82" s="14"/>
      <c r="U82" s="17"/>
    </row>
    <row r="83" spans="2:21" ht="24.95" customHeight="1">
      <c r="B83" s="18"/>
      <c r="C83" s="24" t="s">
        <v>77</v>
      </c>
      <c r="D83" s="10"/>
      <c r="E83" s="22"/>
      <c r="F83" s="12">
        <f>SUM(F85:F103)</f>
        <v>316096993</v>
      </c>
      <c r="G83" s="12">
        <f t="shared" ref="G83:T83" si="34">SUM(G85:G103)</f>
        <v>406839906.98000008</v>
      </c>
      <c r="H83" s="12">
        <f t="shared" si="34"/>
        <v>-90742913.979999974</v>
      </c>
      <c r="I83" s="12">
        <f t="shared" si="34"/>
        <v>0</v>
      </c>
      <c r="J83" s="12">
        <f>SUM(J85:J103)</f>
        <v>74778000</v>
      </c>
      <c r="K83" s="12">
        <f t="shared" ref="K83" si="35">SUM(K85:K103)</f>
        <v>189628818.25999999</v>
      </c>
      <c r="L83" s="12">
        <f>SUM(L85:L103)</f>
        <v>-114850818.26000001</v>
      </c>
      <c r="M83" s="12">
        <f t="shared" si="34"/>
        <v>0</v>
      </c>
      <c r="N83" s="12">
        <f>SUM(N85:N103)</f>
        <v>198485.93</v>
      </c>
      <c r="O83" s="12">
        <f t="shared" ref="O83" si="36">SUM(O85:O103)</f>
        <v>8498728.3300000001</v>
      </c>
      <c r="P83" s="12">
        <f>SUM(P85:P103)</f>
        <v>-8300242.4000000004</v>
      </c>
      <c r="Q83" s="12">
        <f t="shared" si="34"/>
        <v>0</v>
      </c>
      <c r="R83" s="12">
        <f t="shared" si="34"/>
        <v>391073478.93000001</v>
      </c>
      <c r="S83" s="12">
        <f t="shared" si="34"/>
        <v>604967453.57000005</v>
      </c>
      <c r="T83" s="14">
        <f t="shared" si="34"/>
        <v>-213893974.63999999</v>
      </c>
      <c r="U83" s="17">
        <f>+S83/R83</f>
        <v>1.5469406292270866</v>
      </c>
    </row>
    <row r="84" spans="2:21" ht="24.95" customHeight="1">
      <c r="B84" s="18"/>
      <c r="C84" s="20" t="s">
        <v>78</v>
      </c>
      <c r="D84" s="20"/>
      <c r="E84" s="10"/>
      <c r="F84" s="12"/>
      <c r="G84" s="12"/>
      <c r="H84" s="12">
        <f t="shared" ref="H84:H89" si="37">+F84-G84</f>
        <v>0</v>
      </c>
      <c r="I84" s="13"/>
      <c r="J84" s="12"/>
      <c r="K84" s="12"/>
      <c r="L84" s="12">
        <f t="shared" ref="L84:L89" si="38">+J84-K84</f>
        <v>0</v>
      </c>
      <c r="M84" s="12"/>
      <c r="N84" s="12"/>
      <c r="O84" s="12"/>
      <c r="P84" s="12">
        <f t="shared" ref="P84:P89" si="39">+N84-O84</f>
        <v>0</v>
      </c>
      <c r="Q84" s="13"/>
      <c r="R84" s="12"/>
      <c r="S84" s="12"/>
      <c r="T84" s="14"/>
      <c r="U84" s="17"/>
    </row>
    <row r="85" spans="2:21" ht="24.95" customHeight="1">
      <c r="B85" s="18"/>
      <c r="C85" s="20"/>
      <c r="D85" s="20"/>
      <c r="E85" s="10" t="s">
        <v>79</v>
      </c>
      <c r="F85" s="42">
        <v>70584000</v>
      </c>
      <c r="G85" s="12">
        <v>137668787.88</v>
      </c>
      <c r="H85" s="12">
        <f t="shared" si="37"/>
        <v>-67084787.879999995</v>
      </c>
      <c r="I85" s="13"/>
      <c r="J85" s="42">
        <v>1250000</v>
      </c>
      <c r="K85" s="12">
        <v>1250000</v>
      </c>
      <c r="L85" s="12">
        <f t="shared" si="38"/>
        <v>0</v>
      </c>
      <c r="M85" s="12"/>
      <c r="N85" s="42"/>
      <c r="O85" s="12">
        <v>8234837.0600000005</v>
      </c>
      <c r="P85" s="12">
        <f t="shared" si="39"/>
        <v>-8234837.0600000005</v>
      </c>
      <c r="Q85" s="13"/>
      <c r="R85" s="12">
        <f t="shared" ref="R85:S89" si="40">+F85+J85+N85</f>
        <v>71834000</v>
      </c>
      <c r="S85" s="12">
        <f t="shared" si="40"/>
        <v>147153624.94</v>
      </c>
      <c r="T85" s="14">
        <f>+R85-S85</f>
        <v>-75319624.939999998</v>
      </c>
      <c r="U85" s="17">
        <f t="shared" si="30"/>
        <v>2.0485233307347497</v>
      </c>
    </row>
    <row r="86" spans="2:21" ht="27" customHeight="1">
      <c r="B86" s="18"/>
      <c r="C86" s="10"/>
      <c r="D86" s="10"/>
      <c r="E86" s="22" t="s">
        <v>80</v>
      </c>
      <c r="F86" s="12">
        <v>31908000</v>
      </c>
      <c r="G86" s="12">
        <v>35613815.039999999</v>
      </c>
      <c r="H86" s="12">
        <f t="shared" si="37"/>
        <v>-3705815.0399999991</v>
      </c>
      <c r="I86" s="13"/>
      <c r="J86" s="12">
        <v>5752000</v>
      </c>
      <c r="K86" s="12">
        <v>4684798.7300000004</v>
      </c>
      <c r="L86" s="12">
        <f t="shared" si="38"/>
        <v>1067201.2699999996</v>
      </c>
      <c r="M86" s="12"/>
      <c r="N86" s="12">
        <v>198485.93</v>
      </c>
      <c r="O86" s="12">
        <v>198485.93</v>
      </c>
      <c r="P86" s="12">
        <f t="shared" si="39"/>
        <v>0</v>
      </c>
      <c r="Q86" s="13"/>
      <c r="R86" s="12">
        <f t="shared" si="40"/>
        <v>37858485.93</v>
      </c>
      <c r="S86" s="12">
        <f t="shared" si="40"/>
        <v>40497099.699999996</v>
      </c>
      <c r="T86" s="14">
        <f>+R86-S86</f>
        <v>-2638613.7699999958</v>
      </c>
      <c r="U86" s="17">
        <f t="shared" si="30"/>
        <v>1.0696967590008424</v>
      </c>
    </row>
    <row r="87" spans="2:21" ht="27" customHeight="1">
      <c r="B87" s="18"/>
      <c r="C87" s="10"/>
      <c r="D87" s="10"/>
      <c r="E87" s="22" t="s">
        <v>81</v>
      </c>
      <c r="F87" s="12">
        <v>48938000</v>
      </c>
      <c r="G87" s="12">
        <v>43303606.159999996</v>
      </c>
      <c r="H87" s="12">
        <f t="shared" si="37"/>
        <v>5634393.8400000036</v>
      </c>
      <c r="I87" s="13"/>
      <c r="J87" s="12">
        <v>2955000</v>
      </c>
      <c r="K87" s="12">
        <v>2797500</v>
      </c>
      <c r="L87" s="12">
        <f t="shared" si="38"/>
        <v>157500</v>
      </c>
      <c r="M87" s="12"/>
      <c r="N87" s="12"/>
      <c r="O87" s="12">
        <v>65405.34</v>
      </c>
      <c r="P87" s="12">
        <f t="shared" si="39"/>
        <v>-65405.34</v>
      </c>
      <c r="Q87" s="13"/>
      <c r="R87" s="12">
        <f t="shared" si="40"/>
        <v>51893000</v>
      </c>
      <c r="S87" s="12">
        <f t="shared" si="40"/>
        <v>46166511.5</v>
      </c>
      <c r="T87" s="14">
        <f>+R87-S87</f>
        <v>5726488.5</v>
      </c>
      <c r="U87" s="17">
        <f t="shared" si="30"/>
        <v>0.88964815100302541</v>
      </c>
    </row>
    <row r="88" spans="2:21" ht="27" customHeight="1">
      <c r="B88" s="18"/>
      <c r="C88" s="10"/>
      <c r="D88" s="10"/>
      <c r="E88" s="22" t="s">
        <v>82</v>
      </c>
      <c r="F88" s="12">
        <v>5820362</v>
      </c>
      <c r="G88" s="12">
        <v>4746460.71</v>
      </c>
      <c r="H88" s="12">
        <f t="shared" si="37"/>
        <v>1073901.29</v>
      </c>
      <c r="I88" s="13"/>
      <c r="J88" s="12">
        <v>775000</v>
      </c>
      <c r="K88" s="12"/>
      <c r="L88" s="12">
        <f t="shared" si="38"/>
        <v>775000</v>
      </c>
      <c r="M88" s="12"/>
      <c r="N88" s="12"/>
      <c r="O88" s="12"/>
      <c r="P88" s="12">
        <f t="shared" si="39"/>
        <v>0</v>
      </c>
      <c r="Q88" s="13"/>
      <c r="R88" s="12">
        <f t="shared" si="40"/>
        <v>6595362</v>
      </c>
      <c r="S88" s="12">
        <f t="shared" si="40"/>
        <v>4746460.71</v>
      </c>
      <c r="T88" s="14">
        <f>+R88-S88</f>
        <v>1848901.29</v>
      </c>
      <c r="U88" s="17">
        <f t="shared" si="30"/>
        <v>0.71966644287303716</v>
      </c>
    </row>
    <row r="89" spans="2:21" ht="27" customHeight="1">
      <c r="B89" s="18"/>
      <c r="C89" s="10"/>
      <c r="D89" s="10"/>
      <c r="E89" s="22" t="s">
        <v>83</v>
      </c>
      <c r="F89" s="12">
        <v>1909862</v>
      </c>
      <c r="G89" s="12">
        <v>5532528.0199999996</v>
      </c>
      <c r="H89" s="12">
        <f t="shared" si="37"/>
        <v>-3622666.0199999996</v>
      </c>
      <c r="I89" s="13"/>
      <c r="J89" s="12">
        <v>450000</v>
      </c>
      <c r="K89" s="12">
        <v>450000</v>
      </c>
      <c r="L89" s="12">
        <f t="shared" si="38"/>
        <v>0</v>
      </c>
      <c r="M89" s="12"/>
      <c r="N89" s="12"/>
      <c r="O89" s="12"/>
      <c r="P89" s="12">
        <f t="shared" si="39"/>
        <v>0</v>
      </c>
      <c r="Q89" s="13"/>
      <c r="R89" s="12">
        <f t="shared" si="40"/>
        <v>2359862</v>
      </c>
      <c r="S89" s="12">
        <f t="shared" si="40"/>
        <v>5982528.0199999996</v>
      </c>
      <c r="T89" s="14">
        <f>+R89-S89</f>
        <v>-3622666.0199999996</v>
      </c>
      <c r="U89" s="17">
        <f t="shared" si="30"/>
        <v>2.5351177399356399</v>
      </c>
    </row>
    <row r="90" spans="2:21" ht="24.95" customHeight="1">
      <c r="B90" s="18"/>
      <c r="C90" s="10"/>
      <c r="D90" s="10"/>
      <c r="E90" s="22"/>
      <c r="F90" s="12"/>
      <c r="G90" s="12"/>
      <c r="H90" s="12"/>
      <c r="I90" s="13"/>
      <c r="J90" s="12"/>
      <c r="K90" s="12"/>
      <c r="L90" s="12"/>
      <c r="M90" s="12"/>
      <c r="N90" s="12"/>
      <c r="O90" s="12"/>
      <c r="P90" s="12"/>
      <c r="Q90" s="13"/>
      <c r="R90" s="12"/>
      <c r="S90" s="12"/>
      <c r="T90" s="14"/>
      <c r="U90" s="17"/>
    </row>
    <row r="91" spans="2:21" ht="24.95" customHeight="1">
      <c r="B91" s="18"/>
      <c r="C91" s="20" t="s">
        <v>84</v>
      </c>
      <c r="D91" s="20"/>
      <c r="E91" s="10"/>
      <c r="F91" s="12"/>
      <c r="G91" s="12"/>
      <c r="H91" s="12"/>
      <c r="I91" s="13"/>
      <c r="J91" s="12"/>
      <c r="K91" s="12"/>
      <c r="L91" s="12"/>
      <c r="M91" s="12"/>
      <c r="N91" s="12"/>
      <c r="O91" s="12"/>
      <c r="P91" s="12"/>
      <c r="Q91" s="13"/>
      <c r="R91" s="12"/>
      <c r="S91" s="12"/>
      <c r="T91" s="14"/>
      <c r="U91" s="17"/>
    </row>
    <row r="92" spans="2:21" ht="24.95" customHeight="1">
      <c r="B92" s="18"/>
      <c r="C92" s="20"/>
      <c r="D92" s="20"/>
      <c r="E92" s="10" t="s">
        <v>85</v>
      </c>
      <c r="F92" s="12">
        <v>15095000</v>
      </c>
      <c r="G92" s="12">
        <v>24263068</v>
      </c>
      <c r="H92" s="12">
        <f t="shared" ref="H92:H98" si="41">+F92-G92</f>
        <v>-9168068</v>
      </c>
      <c r="I92" s="13"/>
      <c r="J92" s="12">
        <v>47220000</v>
      </c>
      <c r="K92" s="12">
        <v>47220000</v>
      </c>
      <c r="L92" s="12">
        <f t="shared" ref="L92:L98" si="42">+J92-K92</f>
        <v>0</v>
      </c>
      <c r="M92" s="12"/>
      <c r="N92" s="12"/>
      <c r="O92" s="12"/>
      <c r="P92" s="12">
        <f t="shared" ref="P92:P98" si="43">+N92-O92</f>
        <v>0</v>
      </c>
      <c r="Q92" s="13"/>
      <c r="R92" s="12">
        <f t="shared" ref="R92:S97" si="44">+F92+J92+N92</f>
        <v>62315000</v>
      </c>
      <c r="S92" s="12">
        <f t="shared" si="44"/>
        <v>71483068</v>
      </c>
      <c r="T92" s="14">
        <f t="shared" ref="T92:T98" si="45">+R92-S92</f>
        <v>-9168068</v>
      </c>
      <c r="U92" s="17">
        <f t="shared" si="30"/>
        <v>1.1471245767471716</v>
      </c>
    </row>
    <row r="93" spans="2:21" ht="28.5" customHeight="1">
      <c r="B93" s="18"/>
      <c r="C93" s="10"/>
      <c r="D93" s="10"/>
      <c r="E93" s="22" t="s">
        <v>86</v>
      </c>
      <c r="F93" s="12">
        <v>64198000</v>
      </c>
      <c r="G93" s="12">
        <v>74651971.680000007</v>
      </c>
      <c r="H93" s="12">
        <f t="shared" si="41"/>
        <v>-10453971.680000007</v>
      </c>
      <c r="I93" s="13"/>
      <c r="J93" s="12">
        <v>7323500</v>
      </c>
      <c r="K93" s="12">
        <v>7323500</v>
      </c>
      <c r="L93" s="12">
        <f t="shared" si="42"/>
        <v>0</v>
      </c>
      <c r="M93" s="12"/>
      <c r="N93" s="12"/>
      <c r="O93" s="12"/>
      <c r="P93" s="12">
        <f t="shared" si="43"/>
        <v>0</v>
      </c>
      <c r="Q93" s="13"/>
      <c r="R93" s="12">
        <f t="shared" si="44"/>
        <v>71521500</v>
      </c>
      <c r="S93" s="12">
        <f t="shared" si="44"/>
        <v>81975471.680000007</v>
      </c>
      <c r="T93" s="14">
        <f t="shared" si="45"/>
        <v>-10453971.680000007</v>
      </c>
      <c r="U93" s="17">
        <f t="shared" si="30"/>
        <v>1.1461654422795944</v>
      </c>
    </row>
    <row r="94" spans="2:21" ht="28.5" customHeight="1">
      <c r="B94" s="18"/>
      <c r="C94" s="10"/>
      <c r="D94" s="10"/>
      <c r="E94" s="22" t="s">
        <v>87</v>
      </c>
      <c r="F94" s="12">
        <v>29675000</v>
      </c>
      <c r="G94" s="12">
        <v>15612322.6</v>
      </c>
      <c r="H94" s="12">
        <f t="shared" si="41"/>
        <v>14062677.4</v>
      </c>
      <c r="I94" s="13"/>
      <c r="J94" s="12">
        <v>4114000</v>
      </c>
      <c r="K94" s="12">
        <v>3902250</v>
      </c>
      <c r="L94" s="12">
        <f t="shared" si="42"/>
        <v>211750</v>
      </c>
      <c r="M94" s="12"/>
      <c r="N94" s="12"/>
      <c r="O94" s="12"/>
      <c r="P94" s="12">
        <f t="shared" si="43"/>
        <v>0</v>
      </c>
      <c r="Q94" s="13"/>
      <c r="R94" s="12">
        <f t="shared" si="44"/>
        <v>33789000</v>
      </c>
      <c r="S94" s="12">
        <f t="shared" si="44"/>
        <v>19514572.600000001</v>
      </c>
      <c r="T94" s="14">
        <f t="shared" si="45"/>
        <v>14274427.399999999</v>
      </c>
      <c r="U94" s="17">
        <f t="shared" si="30"/>
        <v>0.57754217644795647</v>
      </c>
    </row>
    <row r="95" spans="2:21" ht="28.5" customHeight="1">
      <c r="B95" s="18"/>
      <c r="C95" s="10"/>
      <c r="D95" s="10"/>
      <c r="E95" s="22" t="s">
        <v>88</v>
      </c>
      <c r="F95" s="12">
        <v>7656668</v>
      </c>
      <c r="G95" s="12">
        <v>8930955.2699999996</v>
      </c>
      <c r="H95" s="12">
        <f t="shared" si="41"/>
        <v>-1274287.2699999996</v>
      </c>
      <c r="I95" s="13"/>
      <c r="J95" s="12">
        <v>410000</v>
      </c>
      <c r="K95" s="12">
        <v>410000</v>
      </c>
      <c r="L95" s="12">
        <f t="shared" si="42"/>
        <v>0</v>
      </c>
      <c r="M95" s="12"/>
      <c r="N95" s="12"/>
      <c r="O95" s="12"/>
      <c r="P95" s="12">
        <f t="shared" si="43"/>
        <v>0</v>
      </c>
      <c r="Q95" s="13"/>
      <c r="R95" s="12">
        <f t="shared" si="44"/>
        <v>8066668</v>
      </c>
      <c r="S95" s="12">
        <f t="shared" si="44"/>
        <v>9340955.2699999996</v>
      </c>
      <c r="T95" s="14">
        <f t="shared" si="45"/>
        <v>-1274287.2699999996</v>
      </c>
      <c r="U95" s="17">
        <f t="shared" si="30"/>
        <v>1.1579694701703354</v>
      </c>
    </row>
    <row r="96" spans="2:21" ht="24.95" customHeight="1">
      <c r="B96" s="18"/>
      <c r="C96" s="10"/>
      <c r="D96" s="10"/>
      <c r="E96" s="22" t="s">
        <v>89</v>
      </c>
      <c r="F96" s="12">
        <v>2946000</v>
      </c>
      <c r="G96" s="12">
        <v>2945973.13</v>
      </c>
      <c r="H96" s="12">
        <f t="shared" si="41"/>
        <v>26.870000000111759</v>
      </c>
      <c r="I96" s="13"/>
      <c r="J96" s="12">
        <v>678500</v>
      </c>
      <c r="K96" s="12">
        <v>678500</v>
      </c>
      <c r="L96" s="12">
        <f t="shared" si="42"/>
        <v>0</v>
      </c>
      <c r="M96" s="12"/>
      <c r="N96" s="12"/>
      <c r="O96" s="12"/>
      <c r="P96" s="12">
        <f t="shared" si="43"/>
        <v>0</v>
      </c>
      <c r="Q96" s="13"/>
      <c r="R96" s="12">
        <f t="shared" si="44"/>
        <v>3624500</v>
      </c>
      <c r="S96" s="12">
        <f t="shared" si="44"/>
        <v>3624473.13</v>
      </c>
      <c r="T96" s="14">
        <f t="shared" si="45"/>
        <v>26.870000000111759</v>
      </c>
      <c r="U96" s="17">
        <f t="shared" si="30"/>
        <v>0.99999258656366397</v>
      </c>
    </row>
    <row r="97" spans="2:25" ht="24.95" customHeight="1">
      <c r="B97" s="18"/>
      <c r="C97" s="10"/>
      <c r="D97" s="10"/>
      <c r="E97" s="28" t="s">
        <v>90</v>
      </c>
      <c r="F97" s="12">
        <v>3071000</v>
      </c>
      <c r="G97" s="12">
        <v>3071000</v>
      </c>
      <c r="H97" s="12">
        <f t="shared" si="41"/>
        <v>0</v>
      </c>
      <c r="I97" s="13"/>
      <c r="J97" s="12">
        <v>265000</v>
      </c>
      <c r="K97" s="12">
        <v>265000</v>
      </c>
      <c r="L97" s="12">
        <f t="shared" si="42"/>
        <v>0</v>
      </c>
      <c r="M97" s="12"/>
      <c r="N97" s="12"/>
      <c r="O97" s="12"/>
      <c r="P97" s="12">
        <f t="shared" si="43"/>
        <v>0</v>
      </c>
      <c r="Q97" s="13"/>
      <c r="R97" s="12">
        <f t="shared" si="44"/>
        <v>3336000</v>
      </c>
      <c r="S97" s="12">
        <f t="shared" si="44"/>
        <v>3336000</v>
      </c>
      <c r="T97" s="14">
        <f t="shared" si="45"/>
        <v>0</v>
      </c>
      <c r="U97" s="17">
        <f t="shared" si="30"/>
        <v>1</v>
      </c>
    </row>
    <row r="98" spans="2:25" ht="28.5" customHeight="1">
      <c r="B98" s="18"/>
      <c r="C98" s="10"/>
      <c r="D98" s="10"/>
      <c r="E98" s="43" t="s">
        <v>91</v>
      </c>
      <c r="F98" s="12">
        <v>2273000</v>
      </c>
      <c r="G98" s="12">
        <v>4307975.8499999996</v>
      </c>
      <c r="H98" s="12">
        <f t="shared" si="41"/>
        <v>-2034975.8499999996</v>
      </c>
      <c r="I98" s="13"/>
      <c r="J98" s="12">
        <v>355000</v>
      </c>
      <c r="K98" s="12">
        <v>355000</v>
      </c>
      <c r="L98" s="12">
        <f t="shared" si="42"/>
        <v>0</v>
      </c>
      <c r="M98" s="12"/>
      <c r="N98" s="12"/>
      <c r="O98" s="12"/>
      <c r="P98" s="12">
        <f t="shared" si="43"/>
        <v>0</v>
      </c>
      <c r="Q98" s="13"/>
      <c r="R98" s="12">
        <f>+F98+J98+N98</f>
        <v>2628000</v>
      </c>
      <c r="S98" s="12">
        <f>+G98+K98+O98</f>
        <v>4662975.8499999996</v>
      </c>
      <c r="T98" s="14">
        <f t="shared" si="45"/>
        <v>-2034975.8499999996</v>
      </c>
      <c r="U98" s="17">
        <f t="shared" si="30"/>
        <v>1.7743439307458142</v>
      </c>
    </row>
    <row r="99" spans="2:25" ht="24.95" customHeight="1">
      <c r="B99" s="18"/>
      <c r="C99" s="10"/>
      <c r="D99" s="10"/>
      <c r="E99" s="43"/>
      <c r="F99" s="12"/>
      <c r="G99" s="12"/>
      <c r="H99" s="12"/>
      <c r="I99" s="13"/>
      <c r="J99" s="12"/>
      <c r="K99" s="12"/>
      <c r="L99" s="12"/>
      <c r="M99" s="12"/>
      <c r="N99" s="12"/>
      <c r="O99" s="12"/>
      <c r="P99" s="12"/>
      <c r="Q99" s="13"/>
      <c r="R99" s="12"/>
      <c r="S99" s="12"/>
      <c r="T99" s="14"/>
      <c r="U99" s="17"/>
    </row>
    <row r="100" spans="2:25" ht="24.95" customHeight="1">
      <c r="B100" s="18"/>
      <c r="C100" s="20" t="s">
        <v>92</v>
      </c>
      <c r="D100" s="20"/>
      <c r="E100" s="10"/>
      <c r="F100" s="12"/>
      <c r="G100" s="12"/>
      <c r="H100" s="12"/>
      <c r="I100" s="13"/>
      <c r="J100" s="12"/>
      <c r="K100" s="12"/>
      <c r="L100" s="12"/>
      <c r="M100" s="12"/>
      <c r="N100" s="12"/>
      <c r="O100" s="12"/>
      <c r="P100" s="12"/>
      <c r="Q100" s="13"/>
      <c r="R100" s="12"/>
      <c r="S100" s="12"/>
      <c r="T100" s="14"/>
      <c r="U100" s="17"/>
    </row>
    <row r="101" spans="2:25" ht="24.95" customHeight="1">
      <c r="B101" s="18"/>
      <c r="C101" s="20"/>
      <c r="D101" s="20"/>
      <c r="E101" s="10" t="s">
        <v>93</v>
      </c>
      <c r="F101" s="12">
        <v>11860000</v>
      </c>
      <c r="G101" s="12">
        <v>11826696.42</v>
      </c>
      <c r="H101" s="12">
        <f>+F101-G101</f>
        <v>33303.580000000075</v>
      </c>
      <c r="I101" s="13"/>
      <c r="J101" s="12"/>
      <c r="K101" s="12">
        <v>103504428.3</v>
      </c>
      <c r="L101" s="12">
        <f>+J101-K101</f>
        <v>-103504428.3</v>
      </c>
      <c r="M101" s="12"/>
      <c r="N101" s="12"/>
      <c r="O101" s="12"/>
      <c r="P101" s="12">
        <f>+N101-O101</f>
        <v>0</v>
      </c>
      <c r="Q101" s="13"/>
      <c r="R101" s="12">
        <f t="shared" ref="R101:S103" si="46">+F101+J101+N101</f>
        <v>11860000</v>
      </c>
      <c r="S101" s="12">
        <f t="shared" si="46"/>
        <v>115331124.72</v>
      </c>
      <c r="T101" s="14">
        <f>+R101-S101</f>
        <v>-103471124.72</v>
      </c>
      <c r="U101" s="17">
        <f t="shared" si="30"/>
        <v>9.724378138279933</v>
      </c>
    </row>
    <row r="102" spans="2:25" ht="29.25" customHeight="1">
      <c r="B102" s="18"/>
      <c r="C102" s="10"/>
      <c r="D102" s="10"/>
      <c r="E102" s="22" t="s">
        <v>94</v>
      </c>
      <c r="F102" s="12">
        <v>18525101</v>
      </c>
      <c r="G102" s="12">
        <v>32727894.739999998</v>
      </c>
      <c r="H102" s="12">
        <f>+F102-G102</f>
        <v>-14202793.739999998</v>
      </c>
      <c r="I102" s="13"/>
      <c r="J102" s="12">
        <v>2695000</v>
      </c>
      <c r="K102" s="12">
        <v>16252841.229999999</v>
      </c>
      <c r="L102" s="12">
        <f>+J102-K102</f>
        <v>-13557841.229999999</v>
      </c>
      <c r="M102" s="12"/>
      <c r="N102" s="12"/>
      <c r="O102" s="12"/>
      <c r="P102" s="12">
        <f>+N102-O102</f>
        <v>0</v>
      </c>
      <c r="Q102" s="13"/>
      <c r="R102" s="12">
        <f t="shared" si="46"/>
        <v>21220101</v>
      </c>
      <c r="S102" s="12">
        <f t="shared" si="46"/>
        <v>48980735.969999999</v>
      </c>
      <c r="T102" s="14">
        <f>+R102-S102</f>
        <v>-27760634.969999999</v>
      </c>
      <c r="U102" s="17">
        <f t="shared" si="30"/>
        <v>2.3082235079842457</v>
      </c>
    </row>
    <row r="103" spans="2:25" ht="29.25" customHeight="1">
      <c r="B103" s="18"/>
      <c r="C103" s="10"/>
      <c r="D103" s="10"/>
      <c r="E103" s="22" t="s">
        <v>95</v>
      </c>
      <c r="F103" s="12">
        <v>1637000</v>
      </c>
      <c r="G103" s="12">
        <v>1636851.48</v>
      </c>
      <c r="H103" s="12">
        <f>+F103-G103</f>
        <v>148.52000000001863</v>
      </c>
      <c r="I103" s="13"/>
      <c r="J103" s="12">
        <v>535000</v>
      </c>
      <c r="K103" s="12">
        <v>535000</v>
      </c>
      <c r="L103" s="12">
        <f>+J103-K103</f>
        <v>0</v>
      </c>
      <c r="M103" s="12"/>
      <c r="N103" s="12"/>
      <c r="O103" s="12"/>
      <c r="P103" s="12">
        <f>+N103-O103</f>
        <v>0</v>
      </c>
      <c r="Q103" s="13"/>
      <c r="R103" s="12">
        <f t="shared" si="46"/>
        <v>2172000</v>
      </c>
      <c r="S103" s="12">
        <f t="shared" si="46"/>
        <v>2171851.48</v>
      </c>
      <c r="T103" s="14">
        <f>+R103-S103</f>
        <v>148.52000000001863</v>
      </c>
      <c r="U103" s="17">
        <f t="shared" si="30"/>
        <v>0.99993162062615104</v>
      </c>
    </row>
    <row r="104" spans="2:25" ht="27.75" customHeight="1">
      <c r="B104" s="18"/>
      <c r="C104" s="10"/>
      <c r="D104" s="10"/>
      <c r="E104" s="31" t="s">
        <v>51</v>
      </c>
      <c r="F104" s="32">
        <f>SUM(F85:F103)</f>
        <v>316096993</v>
      </c>
      <c r="G104" s="32">
        <f t="shared" ref="G104:S104" si="47">SUM(G85:G103)</f>
        <v>406839906.98000008</v>
      </c>
      <c r="H104" s="32">
        <f t="shared" si="47"/>
        <v>-90742913.979999974</v>
      </c>
      <c r="I104" s="32">
        <f t="shared" si="47"/>
        <v>0</v>
      </c>
      <c r="J104" s="32">
        <f>SUM(J85:J103)</f>
        <v>74778000</v>
      </c>
      <c r="K104" s="32">
        <f t="shared" ref="K104" si="48">SUM(K85:K103)</f>
        <v>189628818.25999999</v>
      </c>
      <c r="L104" s="32">
        <f>SUM(L85:L103)</f>
        <v>-114850818.26000001</v>
      </c>
      <c r="M104" s="32">
        <f t="shared" si="47"/>
        <v>0</v>
      </c>
      <c r="N104" s="32">
        <f>SUM(N85:N103)</f>
        <v>198485.93</v>
      </c>
      <c r="O104" s="32">
        <f t="shared" ref="O104" si="49">SUM(O85:O103)</f>
        <v>8498728.3300000001</v>
      </c>
      <c r="P104" s="32">
        <f>SUM(P85:P103)</f>
        <v>-8300242.4000000004</v>
      </c>
      <c r="Q104" s="32">
        <f t="shared" si="47"/>
        <v>0</v>
      </c>
      <c r="R104" s="32">
        <f t="shared" si="47"/>
        <v>391073478.93000001</v>
      </c>
      <c r="S104" s="32">
        <f t="shared" si="47"/>
        <v>604967453.57000005</v>
      </c>
      <c r="T104" s="34">
        <f>SUM(T85:T103)</f>
        <v>-213893974.63999999</v>
      </c>
      <c r="U104" s="17">
        <f t="shared" si="30"/>
        <v>1.5469406292270866</v>
      </c>
    </row>
    <row r="105" spans="2:25" ht="24.95" customHeight="1">
      <c r="B105" s="18"/>
      <c r="C105" s="10"/>
      <c r="D105" s="10"/>
      <c r="E105" s="22"/>
      <c r="F105" s="12"/>
      <c r="G105" s="12"/>
      <c r="H105" s="12"/>
      <c r="I105" s="13"/>
      <c r="J105" s="12"/>
      <c r="K105" s="12"/>
      <c r="L105" s="12"/>
      <c r="M105" s="12"/>
      <c r="N105" s="12"/>
      <c r="O105" s="12"/>
      <c r="P105" s="12"/>
      <c r="Q105" s="13"/>
      <c r="R105" s="12"/>
      <c r="S105" s="12"/>
      <c r="T105" s="14"/>
      <c r="U105" s="17"/>
      <c r="Y105" s="2" t="s">
        <v>96</v>
      </c>
    </row>
    <row r="106" spans="2:25" ht="24.95" customHeight="1">
      <c r="B106" s="18"/>
      <c r="C106" s="24" t="s">
        <v>97</v>
      </c>
      <c r="D106" s="10"/>
      <c r="E106" s="22"/>
      <c r="F106" s="12">
        <f>SUM(F108:F136)</f>
        <v>441415386.73000002</v>
      </c>
      <c r="G106" s="12">
        <f>SUM(G108:G136)</f>
        <v>767850233.61000001</v>
      </c>
      <c r="H106" s="12">
        <f t="shared" ref="H106:T106" si="50">SUM(H108:H136)</f>
        <v>-326434846.88</v>
      </c>
      <c r="I106" s="12">
        <f t="shared" si="50"/>
        <v>0</v>
      </c>
      <c r="J106" s="12">
        <f>SUM(J108:J136)</f>
        <v>73672500</v>
      </c>
      <c r="K106" s="12">
        <f>SUM(K108:K136)</f>
        <v>93102036.339999989</v>
      </c>
      <c r="L106" s="12">
        <f>SUM(L108:L136)</f>
        <v>-19429536.339999996</v>
      </c>
      <c r="M106" s="12">
        <f t="shared" si="50"/>
        <v>0</v>
      </c>
      <c r="N106" s="12">
        <f>SUM(N108:N136)</f>
        <v>23504294.990000002</v>
      </c>
      <c r="O106" s="12">
        <f>SUM(O108:O136)</f>
        <v>33593676.509999998</v>
      </c>
      <c r="P106" s="12">
        <f>SUM(P108:P136)</f>
        <v>-10089381.520000001</v>
      </c>
      <c r="Q106" s="12">
        <f t="shared" si="50"/>
        <v>0</v>
      </c>
      <c r="R106" s="12">
        <f t="shared" si="50"/>
        <v>538592181.72000003</v>
      </c>
      <c r="S106" s="12">
        <f t="shared" si="50"/>
        <v>894545946.45999992</v>
      </c>
      <c r="T106" s="14">
        <f t="shared" si="50"/>
        <v>-355953764.74000001</v>
      </c>
      <c r="U106" s="17">
        <f>+S106/R106</f>
        <v>1.6608966428054297</v>
      </c>
    </row>
    <row r="107" spans="2:25" ht="24.95" customHeight="1">
      <c r="B107" s="18"/>
      <c r="C107" s="20" t="s">
        <v>98</v>
      </c>
      <c r="D107" s="20"/>
      <c r="E107" s="10"/>
      <c r="F107" s="12"/>
      <c r="G107" s="12"/>
      <c r="H107" s="12">
        <f t="shared" ref="H107:H115" si="51">+F107-G107</f>
        <v>0</v>
      </c>
      <c r="I107" s="13"/>
      <c r="J107" s="12"/>
      <c r="K107" s="12"/>
      <c r="L107" s="12">
        <f t="shared" ref="L107:L115" si="52">+J107-K107</f>
        <v>0</v>
      </c>
      <c r="M107" s="12"/>
      <c r="N107" s="12"/>
      <c r="O107" s="12"/>
      <c r="P107" s="12">
        <f t="shared" ref="P107:P115" si="53">+N107-O107</f>
        <v>0</v>
      </c>
      <c r="Q107" s="13"/>
      <c r="R107" s="12"/>
      <c r="S107" s="12"/>
      <c r="T107" s="14"/>
      <c r="U107" s="17"/>
    </row>
    <row r="108" spans="2:25" ht="24.95" customHeight="1">
      <c r="B108" s="18"/>
      <c r="C108" s="20"/>
      <c r="D108" s="20"/>
      <c r="E108" s="10" t="s">
        <v>99</v>
      </c>
      <c r="F108" s="12">
        <v>18094000</v>
      </c>
      <c r="G108" s="12">
        <v>28681278.659999993</v>
      </c>
      <c r="H108" s="12">
        <f t="shared" si="51"/>
        <v>-10587278.659999993</v>
      </c>
      <c r="I108" s="13"/>
      <c r="J108" s="12">
        <v>1595000</v>
      </c>
      <c r="K108" s="12">
        <v>1595000</v>
      </c>
      <c r="L108" s="12">
        <f t="shared" si="52"/>
        <v>0</v>
      </c>
      <c r="M108" s="12"/>
      <c r="N108" s="12"/>
      <c r="O108" s="12"/>
      <c r="P108" s="12">
        <f t="shared" si="53"/>
        <v>0</v>
      </c>
      <c r="Q108" s="13"/>
      <c r="R108" s="12">
        <f t="shared" ref="R108:S115" si="54">+F108+J108+N108</f>
        <v>19689000</v>
      </c>
      <c r="S108" s="12">
        <f t="shared" si="54"/>
        <v>30276278.659999993</v>
      </c>
      <c r="T108" s="14">
        <f t="shared" ref="T108:T115" si="55">+R108-S108</f>
        <v>-10587278.659999993</v>
      </c>
      <c r="U108" s="17">
        <f t="shared" si="30"/>
        <v>1.5377255655442121</v>
      </c>
    </row>
    <row r="109" spans="2:25" ht="27" customHeight="1">
      <c r="B109" s="18"/>
      <c r="C109" s="10"/>
      <c r="D109" s="10"/>
      <c r="E109" s="22" t="s">
        <v>100</v>
      </c>
      <c r="F109" s="12">
        <v>31393126</v>
      </c>
      <c r="G109" s="12">
        <v>27166181.460000001</v>
      </c>
      <c r="H109" s="12">
        <f t="shared" si="51"/>
        <v>4226944.5399999991</v>
      </c>
      <c r="I109" s="13"/>
      <c r="J109" s="12"/>
      <c r="K109" s="12"/>
      <c r="L109" s="12">
        <f t="shared" si="52"/>
        <v>0</v>
      </c>
      <c r="M109" s="12"/>
      <c r="N109" s="12">
        <v>2062476</v>
      </c>
      <c r="O109" s="12">
        <v>2062475.76</v>
      </c>
      <c r="P109" s="12">
        <f t="shared" si="53"/>
        <v>0.23999999999068677</v>
      </c>
      <c r="Q109" s="13"/>
      <c r="R109" s="12">
        <f t="shared" si="54"/>
        <v>33455602</v>
      </c>
      <c r="S109" s="12">
        <f t="shared" si="54"/>
        <v>29228657.220000003</v>
      </c>
      <c r="T109" s="14">
        <f t="shared" si="55"/>
        <v>4226944.7799999975</v>
      </c>
      <c r="U109" s="17">
        <f t="shared" si="30"/>
        <v>0.87365509728385704</v>
      </c>
    </row>
    <row r="110" spans="2:25" ht="27" customHeight="1">
      <c r="B110" s="18"/>
      <c r="C110" s="10"/>
      <c r="D110" s="10"/>
      <c r="E110" s="22" t="s">
        <v>101</v>
      </c>
      <c r="F110" s="12">
        <v>3194000</v>
      </c>
      <c r="G110" s="12">
        <v>2830210.8</v>
      </c>
      <c r="H110" s="12">
        <f t="shared" si="51"/>
        <v>363789.20000000019</v>
      </c>
      <c r="I110" s="13"/>
      <c r="J110" s="12">
        <v>315000</v>
      </c>
      <c r="K110" s="12">
        <v>315000</v>
      </c>
      <c r="L110" s="12">
        <f t="shared" si="52"/>
        <v>0</v>
      </c>
      <c r="M110" s="12"/>
      <c r="N110" s="12">
        <v>2728622.96</v>
      </c>
      <c r="O110" s="12">
        <v>101587.74</v>
      </c>
      <c r="P110" s="12">
        <f t="shared" si="53"/>
        <v>2627035.2199999997</v>
      </c>
      <c r="Q110" s="13"/>
      <c r="R110" s="12">
        <f t="shared" si="54"/>
        <v>6237622.96</v>
      </c>
      <c r="S110" s="12">
        <f t="shared" si="54"/>
        <v>3246798.54</v>
      </c>
      <c r="T110" s="14">
        <f t="shared" si="55"/>
        <v>2990824.42</v>
      </c>
      <c r="U110" s="17">
        <f t="shared" si="30"/>
        <v>0.5205185630521022</v>
      </c>
    </row>
    <row r="111" spans="2:25" ht="29.25" customHeight="1">
      <c r="B111" s="18"/>
      <c r="C111" s="10"/>
      <c r="D111" s="10"/>
      <c r="E111" s="22" t="s">
        <v>102</v>
      </c>
      <c r="F111" s="12">
        <v>2720000</v>
      </c>
      <c r="G111" s="12">
        <v>2291729.37</v>
      </c>
      <c r="H111" s="12">
        <f t="shared" si="51"/>
        <v>428270.62999999989</v>
      </c>
      <c r="I111" s="13"/>
      <c r="J111" s="12">
        <v>205000</v>
      </c>
      <c r="K111" s="12">
        <v>190356.92</v>
      </c>
      <c r="L111" s="12">
        <f t="shared" si="52"/>
        <v>14643.079999999987</v>
      </c>
      <c r="M111" s="12"/>
      <c r="N111" s="12"/>
      <c r="O111" s="12"/>
      <c r="P111" s="12">
        <f t="shared" si="53"/>
        <v>0</v>
      </c>
      <c r="Q111" s="13"/>
      <c r="R111" s="12">
        <f t="shared" si="54"/>
        <v>2925000</v>
      </c>
      <c r="S111" s="12">
        <f t="shared" si="54"/>
        <v>2482086.29</v>
      </c>
      <c r="T111" s="14">
        <f t="shared" si="55"/>
        <v>442913.70999999996</v>
      </c>
      <c r="U111" s="17">
        <f t="shared" si="30"/>
        <v>0.84857650940170937</v>
      </c>
    </row>
    <row r="112" spans="2:25" ht="24.95" customHeight="1">
      <c r="B112" s="18"/>
      <c r="C112" s="10"/>
      <c r="D112" s="10"/>
      <c r="E112" s="28" t="s">
        <v>103</v>
      </c>
      <c r="F112" s="12">
        <v>970304.01</v>
      </c>
      <c r="G112" s="12">
        <v>1309618.3899999999</v>
      </c>
      <c r="H112" s="12">
        <f t="shared" si="51"/>
        <v>-339314.37999999989</v>
      </c>
      <c r="I112" s="13"/>
      <c r="J112" s="12">
        <v>240000</v>
      </c>
      <c r="K112" s="12">
        <v>239999.97</v>
      </c>
      <c r="L112" s="12">
        <f t="shared" si="52"/>
        <v>2.9999999998835847E-2</v>
      </c>
      <c r="M112" s="12"/>
      <c r="N112" s="12"/>
      <c r="O112" s="12"/>
      <c r="P112" s="12">
        <f t="shared" si="53"/>
        <v>0</v>
      </c>
      <c r="Q112" s="13"/>
      <c r="R112" s="12">
        <f t="shared" si="54"/>
        <v>1210304.01</v>
      </c>
      <c r="S112" s="12">
        <f t="shared" si="54"/>
        <v>1549618.3599999999</v>
      </c>
      <c r="T112" s="14">
        <f t="shared" si="55"/>
        <v>-339314.34999999986</v>
      </c>
      <c r="U112" s="17">
        <f t="shared" si="30"/>
        <v>1.2803546441195381</v>
      </c>
    </row>
    <row r="113" spans="2:22" ht="24.95" customHeight="1">
      <c r="B113" s="18"/>
      <c r="C113" s="10"/>
      <c r="D113" s="10"/>
      <c r="E113" s="22" t="s">
        <v>104</v>
      </c>
      <c r="F113" s="12">
        <v>3200000</v>
      </c>
      <c r="G113" s="12">
        <v>3637106.42</v>
      </c>
      <c r="H113" s="12">
        <f t="shared" si="51"/>
        <v>-437106.41999999993</v>
      </c>
      <c r="I113" s="13"/>
      <c r="J113" s="12">
        <v>370000</v>
      </c>
      <c r="K113" s="12">
        <v>370000</v>
      </c>
      <c r="L113" s="12">
        <f t="shared" si="52"/>
        <v>0</v>
      </c>
      <c r="M113" s="12"/>
      <c r="N113" s="12"/>
      <c r="O113" s="12"/>
      <c r="P113" s="12">
        <f t="shared" si="53"/>
        <v>0</v>
      </c>
      <c r="Q113" s="13"/>
      <c r="R113" s="12">
        <f t="shared" si="54"/>
        <v>3570000</v>
      </c>
      <c r="S113" s="12">
        <f t="shared" si="54"/>
        <v>4007106.42</v>
      </c>
      <c r="T113" s="14">
        <f t="shared" si="55"/>
        <v>-437106.41999999993</v>
      </c>
      <c r="U113" s="17">
        <f t="shared" si="30"/>
        <v>1.1224387731092438</v>
      </c>
    </row>
    <row r="114" spans="2:22" ht="29.25" customHeight="1">
      <c r="B114" s="18"/>
      <c r="C114" s="10"/>
      <c r="D114" s="10"/>
      <c r="E114" s="22" t="s">
        <v>105</v>
      </c>
      <c r="F114" s="12">
        <v>4200000</v>
      </c>
      <c r="G114" s="12">
        <v>8103164.8900000006</v>
      </c>
      <c r="H114" s="12">
        <f t="shared" si="51"/>
        <v>-3903164.8900000006</v>
      </c>
      <c r="I114" s="13"/>
      <c r="J114" s="12">
        <v>1370500</v>
      </c>
      <c r="K114" s="12">
        <v>1370500</v>
      </c>
      <c r="L114" s="12">
        <f t="shared" si="52"/>
        <v>0</v>
      </c>
      <c r="M114" s="12"/>
      <c r="N114" s="12"/>
      <c r="O114" s="12"/>
      <c r="P114" s="12">
        <f t="shared" si="53"/>
        <v>0</v>
      </c>
      <c r="Q114" s="13"/>
      <c r="R114" s="12">
        <f t="shared" si="54"/>
        <v>5570500</v>
      </c>
      <c r="S114" s="12">
        <f t="shared" si="54"/>
        <v>9473664.8900000006</v>
      </c>
      <c r="T114" s="14">
        <f t="shared" si="55"/>
        <v>-3903164.8900000006</v>
      </c>
      <c r="U114" s="17">
        <f t="shared" si="30"/>
        <v>1.7006848379858182</v>
      </c>
    </row>
    <row r="115" spans="2:22" ht="29.25" customHeight="1">
      <c r="B115" s="18"/>
      <c r="C115" s="10"/>
      <c r="D115" s="10"/>
      <c r="E115" s="21" t="s">
        <v>106</v>
      </c>
      <c r="F115" s="12">
        <v>5863695.0000000019</v>
      </c>
      <c r="G115" s="12">
        <v>13792844.01</v>
      </c>
      <c r="H115" s="12">
        <f t="shared" si="51"/>
        <v>-7929149.0099999979</v>
      </c>
      <c r="I115" s="13"/>
      <c r="J115" s="12">
        <v>435000</v>
      </c>
      <c r="K115" s="12">
        <v>435000</v>
      </c>
      <c r="L115" s="12">
        <f t="shared" si="52"/>
        <v>0</v>
      </c>
      <c r="M115" s="12"/>
      <c r="N115" s="12"/>
      <c r="O115" s="12"/>
      <c r="P115" s="12">
        <f t="shared" si="53"/>
        <v>0</v>
      </c>
      <c r="Q115" s="13"/>
      <c r="R115" s="12">
        <f t="shared" si="54"/>
        <v>6298695.0000000019</v>
      </c>
      <c r="S115" s="12">
        <f t="shared" si="54"/>
        <v>14227844.01</v>
      </c>
      <c r="T115" s="14">
        <f t="shared" si="55"/>
        <v>-7929149.0099999979</v>
      </c>
      <c r="U115" s="17">
        <f t="shared" si="30"/>
        <v>2.2588558439486266</v>
      </c>
    </row>
    <row r="116" spans="2:22" ht="24.95" customHeight="1">
      <c r="B116" s="18"/>
      <c r="C116" s="10"/>
      <c r="D116" s="10"/>
      <c r="E116" s="28"/>
      <c r="F116" s="12"/>
      <c r="G116" s="12"/>
      <c r="H116" s="12"/>
      <c r="I116" s="13"/>
      <c r="J116" s="12"/>
      <c r="K116" s="12"/>
      <c r="L116" s="12"/>
      <c r="M116" s="12"/>
      <c r="N116" s="12"/>
      <c r="O116" s="12"/>
      <c r="P116" s="12"/>
      <c r="Q116" s="13"/>
      <c r="R116" s="12"/>
      <c r="S116" s="12"/>
      <c r="T116" s="14"/>
      <c r="U116" s="17"/>
    </row>
    <row r="117" spans="2:22" ht="24.95" customHeight="1">
      <c r="B117" s="18"/>
      <c r="C117" s="20" t="s">
        <v>107</v>
      </c>
      <c r="D117" s="20"/>
      <c r="E117" s="10"/>
      <c r="F117" s="12"/>
      <c r="G117" s="12"/>
      <c r="H117" s="12"/>
      <c r="I117" s="13"/>
      <c r="J117" s="12"/>
      <c r="K117" s="12"/>
      <c r="L117" s="12"/>
      <c r="M117" s="12"/>
      <c r="N117" s="12"/>
      <c r="O117" s="12"/>
      <c r="P117" s="12"/>
      <c r="Q117" s="13"/>
      <c r="R117" s="12"/>
      <c r="S117" s="12"/>
      <c r="T117" s="14"/>
      <c r="U117" s="17"/>
    </row>
    <row r="118" spans="2:22" ht="24.95" customHeight="1">
      <c r="B118" s="18"/>
      <c r="C118" s="20"/>
      <c r="D118" s="20"/>
      <c r="E118" s="10" t="s">
        <v>108</v>
      </c>
      <c r="F118" s="12">
        <v>52506000</v>
      </c>
      <c r="G118" s="12">
        <v>137843479.00999999</v>
      </c>
      <c r="H118" s="12">
        <f>+F118-G118</f>
        <v>-85337479.00999999</v>
      </c>
      <c r="I118" s="13"/>
      <c r="J118" s="12">
        <v>2650000</v>
      </c>
      <c r="K118" s="12">
        <v>2650000</v>
      </c>
      <c r="L118" s="12">
        <f>+J118-K118</f>
        <v>0</v>
      </c>
      <c r="M118" s="12"/>
      <c r="N118" s="12"/>
      <c r="O118" s="12"/>
      <c r="P118" s="12">
        <f>+N118-O118</f>
        <v>0</v>
      </c>
      <c r="Q118" s="13"/>
      <c r="R118" s="12">
        <f t="shared" ref="R118:S121" si="56">+F118+J118+N118</f>
        <v>55156000</v>
      </c>
      <c r="S118" s="12">
        <f t="shared" si="56"/>
        <v>140493479.00999999</v>
      </c>
      <c r="T118" s="14">
        <f>+R118-S118</f>
        <v>-85337479.00999999</v>
      </c>
      <c r="U118" s="17">
        <f t="shared" si="30"/>
        <v>2.5472020996809048</v>
      </c>
    </row>
    <row r="119" spans="2:22" ht="28.5" customHeight="1">
      <c r="B119" s="18"/>
      <c r="C119" s="10"/>
      <c r="D119" s="10"/>
      <c r="E119" s="21" t="s">
        <v>109</v>
      </c>
      <c r="F119" s="12">
        <v>39847000</v>
      </c>
      <c r="G119" s="12">
        <v>117207973.70999999</v>
      </c>
      <c r="H119" s="12">
        <f>+F119-G119</f>
        <v>-77360973.709999993</v>
      </c>
      <c r="I119" s="13"/>
      <c r="J119" s="12">
        <v>3170000</v>
      </c>
      <c r="K119" s="12">
        <v>3170000</v>
      </c>
      <c r="L119" s="12">
        <f>+J119-K119</f>
        <v>0</v>
      </c>
      <c r="M119" s="12"/>
      <c r="N119" s="12">
        <v>638809</v>
      </c>
      <c r="O119" s="12">
        <v>638808.71</v>
      </c>
      <c r="P119" s="12">
        <f>+N119-O119</f>
        <v>0.2900000000372529</v>
      </c>
      <c r="Q119" s="13"/>
      <c r="R119" s="12">
        <f t="shared" si="56"/>
        <v>43655809</v>
      </c>
      <c r="S119" s="12">
        <f t="shared" si="56"/>
        <v>121016782.41999999</v>
      </c>
      <c r="T119" s="14">
        <f>+R119-S119</f>
        <v>-77360973.419999987</v>
      </c>
      <c r="U119" s="17">
        <f t="shared" si="30"/>
        <v>2.7720659676699611</v>
      </c>
    </row>
    <row r="120" spans="2:22" ht="28.5" customHeight="1">
      <c r="B120" s="18"/>
      <c r="C120" s="10"/>
      <c r="D120" s="10"/>
      <c r="E120" s="21" t="s">
        <v>110</v>
      </c>
      <c r="F120" s="12">
        <v>22357647.75</v>
      </c>
      <c r="G120" s="12">
        <v>29301435.050000001</v>
      </c>
      <c r="H120" s="12">
        <f>+F120-G120</f>
        <v>-6943787.3000000007</v>
      </c>
      <c r="I120" s="13"/>
      <c r="J120" s="12">
        <v>2643000</v>
      </c>
      <c r="K120" s="12">
        <v>2643000</v>
      </c>
      <c r="L120" s="12">
        <f>+J120-K120</f>
        <v>0</v>
      </c>
      <c r="M120" s="12"/>
      <c r="N120" s="12">
        <v>0</v>
      </c>
      <c r="O120" s="12">
        <v>0</v>
      </c>
      <c r="P120" s="12">
        <f>+N120-O120</f>
        <v>0</v>
      </c>
      <c r="Q120" s="13"/>
      <c r="R120" s="12">
        <f t="shared" si="56"/>
        <v>25000647.75</v>
      </c>
      <c r="S120" s="12">
        <f t="shared" si="56"/>
        <v>31944435.050000001</v>
      </c>
      <c r="T120" s="14">
        <f>+R120-S120</f>
        <v>-6943787.3000000007</v>
      </c>
      <c r="U120" s="17">
        <f t="shared" si="30"/>
        <v>1.2777442956452998</v>
      </c>
    </row>
    <row r="121" spans="2:22" ht="28.5" customHeight="1">
      <c r="B121" s="18"/>
      <c r="C121" s="10"/>
      <c r="D121" s="10"/>
      <c r="E121" s="22" t="s">
        <v>111</v>
      </c>
      <c r="F121" s="12">
        <v>10417000</v>
      </c>
      <c r="G121" s="12">
        <v>10417000</v>
      </c>
      <c r="H121" s="12">
        <f>+F121-G121</f>
        <v>0</v>
      </c>
      <c r="I121" s="13"/>
      <c r="J121" s="12">
        <v>10915000</v>
      </c>
      <c r="K121" s="12">
        <v>3582610.93</v>
      </c>
      <c r="L121" s="12">
        <f>+J121-K121</f>
        <v>7332389.0700000003</v>
      </c>
      <c r="M121" s="12"/>
      <c r="N121" s="12">
        <v>323701</v>
      </c>
      <c r="O121" s="12">
        <v>323701</v>
      </c>
      <c r="P121" s="12">
        <f>+N121-O121</f>
        <v>0</v>
      </c>
      <c r="Q121" s="13"/>
      <c r="R121" s="12">
        <f t="shared" si="56"/>
        <v>21655701</v>
      </c>
      <c r="S121" s="12">
        <f t="shared" si="56"/>
        <v>14323311.93</v>
      </c>
      <c r="T121" s="14">
        <f>+R121-S121</f>
        <v>7332389.0700000003</v>
      </c>
      <c r="U121" s="17">
        <f t="shared" si="30"/>
        <v>0.66141068026382521</v>
      </c>
    </row>
    <row r="122" spans="2:22" ht="24.95" customHeight="1">
      <c r="B122" s="18"/>
      <c r="C122" s="10"/>
      <c r="D122" s="10"/>
      <c r="E122" s="22"/>
      <c r="F122" s="12"/>
      <c r="G122" s="12"/>
      <c r="H122" s="12"/>
      <c r="I122" s="13"/>
      <c r="J122" s="12"/>
      <c r="K122" s="12"/>
      <c r="L122" s="12"/>
      <c r="M122" s="12"/>
      <c r="N122" s="12"/>
      <c r="O122" s="12"/>
      <c r="P122" s="12"/>
      <c r="Q122" s="13"/>
      <c r="R122" s="12"/>
      <c r="S122" s="12"/>
      <c r="T122" s="14"/>
      <c r="U122" s="17"/>
    </row>
    <row r="123" spans="2:22" ht="24.95" customHeight="1">
      <c r="B123" s="18"/>
      <c r="C123" s="20" t="s">
        <v>112</v>
      </c>
      <c r="D123" s="20"/>
      <c r="E123" s="10"/>
      <c r="F123" s="12"/>
      <c r="G123" s="12"/>
      <c r="H123" s="12"/>
      <c r="I123" s="13"/>
      <c r="J123" s="12"/>
      <c r="K123" s="12"/>
      <c r="L123" s="12"/>
      <c r="M123" s="12"/>
      <c r="N123" s="12"/>
      <c r="O123" s="12"/>
      <c r="P123" s="12"/>
      <c r="Q123" s="13"/>
      <c r="R123" s="12"/>
      <c r="S123" s="12"/>
      <c r="T123" s="14"/>
      <c r="U123" s="17"/>
    </row>
    <row r="124" spans="2:22" ht="24.95" customHeight="1">
      <c r="B124" s="18"/>
      <c r="C124" s="20"/>
      <c r="D124" s="20"/>
      <c r="E124" s="10" t="s">
        <v>113</v>
      </c>
      <c r="F124" s="12">
        <v>27603000</v>
      </c>
      <c r="G124" s="12">
        <v>32671106.16</v>
      </c>
      <c r="H124" s="12">
        <f>+F124-G124</f>
        <v>-5068106.16</v>
      </c>
      <c r="I124" s="13"/>
      <c r="J124" s="12">
        <v>13656500</v>
      </c>
      <c r="K124" s="12">
        <v>12031640.26</v>
      </c>
      <c r="L124" s="12">
        <f>+J124-K124</f>
        <v>1624859.7400000002</v>
      </c>
      <c r="M124" s="12"/>
      <c r="N124" s="12">
        <v>35397</v>
      </c>
      <c r="O124" s="12">
        <v>35396.769999999997</v>
      </c>
      <c r="P124" s="12">
        <f>+N124-O124</f>
        <v>0.23000000000320142</v>
      </c>
      <c r="Q124" s="13"/>
      <c r="R124" s="12">
        <f t="shared" ref="R124:S126" si="57">+F124+J124+N124</f>
        <v>41294897</v>
      </c>
      <c r="S124" s="12">
        <f t="shared" si="57"/>
        <v>44738143.190000005</v>
      </c>
      <c r="T124" s="14">
        <f>+R124-S124</f>
        <v>-3443246.1900000051</v>
      </c>
      <c r="U124" s="17">
        <f t="shared" si="30"/>
        <v>1.083381881059057</v>
      </c>
      <c r="V124" s="2" t="s">
        <v>297</v>
      </c>
    </row>
    <row r="125" spans="2:22" ht="24.95" customHeight="1">
      <c r="B125" s="18"/>
      <c r="C125" s="10"/>
      <c r="D125" s="10"/>
      <c r="E125" s="22" t="s">
        <v>115</v>
      </c>
      <c r="F125" s="12">
        <v>58050000</v>
      </c>
      <c r="G125" s="12">
        <v>122635768.48999999</v>
      </c>
      <c r="H125" s="12">
        <f>+F125-G125</f>
        <v>-64585768.489999995</v>
      </c>
      <c r="I125" s="13"/>
      <c r="J125" s="12">
        <v>10865000</v>
      </c>
      <c r="K125" s="12">
        <v>10805000</v>
      </c>
      <c r="L125" s="12">
        <f>+J125-K125</f>
        <v>60000</v>
      </c>
      <c r="M125" s="12"/>
      <c r="N125" s="12">
        <v>300725</v>
      </c>
      <c r="O125" s="12">
        <v>300723.82</v>
      </c>
      <c r="P125" s="12">
        <f>+N125-O125</f>
        <v>1.1799999999930151</v>
      </c>
      <c r="Q125" s="13"/>
      <c r="R125" s="12">
        <f t="shared" si="57"/>
        <v>69215725</v>
      </c>
      <c r="S125" s="12">
        <f t="shared" si="57"/>
        <v>133741492.30999999</v>
      </c>
      <c r="T125" s="14">
        <f>+R125-S125</f>
        <v>-64525767.309999987</v>
      </c>
      <c r="U125" s="17">
        <f t="shared" si="30"/>
        <v>1.9322414423889944</v>
      </c>
    </row>
    <row r="126" spans="2:22" ht="28.5" customHeight="1">
      <c r="B126" s="18"/>
      <c r="C126" s="10"/>
      <c r="D126" s="10"/>
      <c r="E126" s="22" t="s">
        <v>116</v>
      </c>
      <c r="F126" s="12">
        <v>53503000</v>
      </c>
      <c r="G126" s="12">
        <v>24683263.859999999</v>
      </c>
      <c r="H126" s="12">
        <f>+F126-G126</f>
        <v>28819736.140000001</v>
      </c>
      <c r="I126" s="13"/>
      <c r="J126" s="12">
        <v>2375000</v>
      </c>
      <c r="K126" s="12">
        <v>2374961</v>
      </c>
      <c r="L126" s="12">
        <f>+J126-K126</f>
        <v>39</v>
      </c>
      <c r="M126" s="12"/>
      <c r="N126" s="12"/>
      <c r="O126" s="12"/>
      <c r="P126" s="12">
        <f>+N126-O126</f>
        <v>0</v>
      </c>
      <c r="Q126" s="13"/>
      <c r="R126" s="12">
        <f t="shared" si="57"/>
        <v>55878000</v>
      </c>
      <c r="S126" s="12">
        <f t="shared" si="57"/>
        <v>27058224.859999999</v>
      </c>
      <c r="T126" s="14">
        <f>+R126-S126</f>
        <v>28819775.140000001</v>
      </c>
      <c r="U126" s="17">
        <f t="shared" si="30"/>
        <v>0.48423753283940013</v>
      </c>
    </row>
    <row r="127" spans="2:22" ht="24.95" customHeight="1">
      <c r="B127" s="18"/>
      <c r="C127" s="10"/>
      <c r="D127" s="10"/>
      <c r="E127" s="22"/>
      <c r="F127" s="12"/>
      <c r="G127" s="12"/>
      <c r="H127" s="12"/>
      <c r="I127" s="13"/>
      <c r="J127" s="12"/>
      <c r="K127" s="12"/>
      <c r="L127" s="12"/>
      <c r="M127" s="12"/>
      <c r="N127" s="12"/>
      <c r="O127" s="12"/>
      <c r="P127" s="12"/>
      <c r="Q127" s="13"/>
      <c r="R127" s="12"/>
      <c r="S127" s="12"/>
      <c r="T127" s="14"/>
      <c r="U127" s="17"/>
    </row>
    <row r="128" spans="2:22" ht="24.95" customHeight="1">
      <c r="B128" s="18"/>
      <c r="C128" s="20" t="s">
        <v>117</v>
      </c>
      <c r="D128" s="20"/>
      <c r="E128" s="10"/>
      <c r="F128" s="12"/>
      <c r="G128" s="12"/>
      <c r="H128" s="12"/>
      <c r="I128" s="13"/>
      <c r="J128" s="12"/>
      <c r="K128" s="12"/>
      <c r="L128" s="12"/>
      <c r="M128" s="12"/>
      <c r="N128" s="12"/>
      <c r="O128" s="12"/>
      <c r="P128" s="12"/>
      <c r="Q128" s="13"/>
      <c r="R128" s="12"/>
      <c r="S128" s="12"/>
      <c r="T128" s="14"/>
      <c r="U128" s="17"/>
    </row>
    <row r="129" spans="2:21" ht="24.95" customHeight="1">
      <c r="B129" s="18"/>
      <c r="C129" s="20"/>
      <c r="D129" s="20"/>
      <c r="E129" s="10" t="s">
        <v>118</v>
      </c>
      <c r="F129" s="12">
        <v>16666977</v>
      </c>
      <c r="G129" s="12">
        <v>37608074.170000002</v>
      </c>
      <c r="H129" s="12">
        <f>+F129-G129</f>
        <v>-20941097.170000002</v>
      </c>
      <c r="I129" s="13"/>
      <c r="J129" s="12">
        <v>1205000</v>
      </c>
      <c r="K129" s="12">
        <v>13593159.140000001</v>
      </c>
      <c r="L129" s="12">
        <f>+J129-K129</f>
        <v>-12388159.140000001</v>
      </c>
      <c r="M129" s="12"/>
      <c r="N129" s="12">
        <v>15310000</v>
      </c>
      <c r="O129" s="12">
        <v>28026419.050000001</v>
      </c>
      <c r="P129" s="12">
        <f>+N129-O129</f>
        <v>-12716419.050000001</v>
      </c>
      <c r="Q129" s="13"/>
      <c r="R129" s="12">
        <f t="shared" ref="R129:S131" si="58">+F129+J129+N129</f>
        <v>33181977</v>
      </c>
      <c r="S129" s="12">
        <f t="shared" si="58"/>
        <v>79227652.359999999</v>
      </c>
      <c r="T129" s="14">
        <f>+R129-S129</f>
        <v>-46045675.359999999</v>
      </c>
      <c r="U129" s="17">
        <f t="shared" si="30"/>
        <v>2.3876712457488596</v>
      </c>
    </row>
    <row r="130" spans="2:21" ht="27.75" customHeight="1">
      <c r="B130" s="18"/>
      <c r="C130" s="10"/>
      <c r="D130" s="10"/>
      <c r="E130" s="22" t="s">
        <v>119</v>
      </c>
      <c r="F130" s="12">
        <f>32390134-15650000</f>
        <v>16740134</v>
      </c>
      <c r="G130" s="12">
        <v>105120100.08</v>
      </c>
      <c r="H130" s="12">
        <f>+F130-G130</f>
        <v>-88379966.079999998</v>
      </c>
      <c r="I130" s="13"/>
      <c r="J130" s="12">
        <v>15650000</v>
      </c>
      <c r="K130" s="12">
        <v>14792800.35</v>
      </c>
      <c r="L130" s="12">
        <f>+J130-K130</f>
        <v>857199.65000000037</v>
      </c>
      <c r="M130" s="12"/>
      <c r="N130" s="12">
        <v>188917</v>
      </c>
      <c r="O130" s="12">
        <v>188916.63</v>
      </c>
      <c r="P130" s="12">
        <f>+N130-O130</f>
        <v>0.36999999999534339</v>
      </c>
      <c r="Q130" s="13"/>
      <c r="R130" s="12">
        <f t="shared" si="58"/>
        <v>32579051</v>
      </c>
      <c r="S130" s="12">
        <f t="shared" si="58"/>
        <v>120101817.05999999</v>
      </c>
      <c r="T130" s="14">
        <f>+R130-S130</f>
        <v>-87522766.059999987</v>
      </c>
      <c r="U130" s="17">
        <f t="shared" si="30"/>
        <v>3.6864737729776103</v>
      </c>
    </row>
    <row r="131" spans="2:21" ht="24.95" customHeight="1">
      <c r="B131" s="18"/>
      <c r="C131" s="10"/>
      <c r="D131" s="10"/>
      <c r="E131" s="28" t="s">
        <v>120</v>
      </c>
      <c r="F131" s="12">
        <v>1997000</v>
      </c>
      <c r="G131" s="12">
        <v>7725323.4799999995</v>
      </c>
      <c r="H131" s="12">
        <f>+F131-G131</f>
        <v>-5728323.4799999995</v>
      </c>
      <c r="I131" s="13"/>
      <c r="J131" s="12">
        <v>615000</v>
      </c>
      <c r="K131" s="12"/>
      <c r="L131" s="12">
        <f>+J131-K131</f>
        <v>615000</v>
      </c>
      <c r="M131" s="12"/>
      <c r="N131" s="12"/>
      <c r="O131" s="12"/>
      <c r="P131" s="12">
        <f>+N131-O131</f>
        <v>0</v>
      </c>
      <c r="Q131" s="13"/>
      <c r="R131" s="12">
        <f t="shared" si="58"/>
        <v>2612000</v>
      </c>
      <c r="S131" s="12">
        <f t="shared" si="58"/>
        <v>7725323.4799999995</v>
      </c>
      <c r="T131" s="14">
        <f>+R131-S131</f>
        <v>-5113323.4799999995</v>
      </c>
      <c r="U131" s="17">
        <f t="shared" si="30"/>
        <v>2.957627672281776</v>
      </c>
    </row>
    <row r="132" spans="2:21" ht="24.95" customHeight="1">
      <c r="B132" s="18"/>
      <c r="C132" s="10"/>
      <c r="D132" s="10"/>
      <c r="E132" s="28"/>
      <c r="F132" s="12"/>
      <c r="G132" s="12"/>
      <c r="H132" s="12"/>
      <c r="I132" s="13"/>
      <c r="J132" s="12"/>
      <c r="K132" s="12"/>
      <c r="L132" s="12"/>
      <c r="M132" s="12"/>
      <c r="N132" s="12"/>
      <c r="O132" s="12"/>
      <c r="P132" s="12"/>
      <c r="Q132" s="13"/>
      <c r="R132" s="12"/>
      <c r="S132" s="12"/>
      <c r="T132" s="14"/>
      <c r="U132" s="17"/>
    </row>
    <row r="133" spans="2:21" ht="24.95" customHeight="1">
      <c r="B133" s="18"/>
      <c r="C133" s="20" t="s">
        <v>121</v>
      </c>
      <c r="D133" s="20"/>
      <c r="E133" s="10"/>
      <c r="F133" s="12"/>
      <c r="G133" s="12"/>
      <c r="H133" s="12"/>
      <c r="I133" s="13"/>
      <c r="J133" s="12"/>
      <c r="K133" s="12"/>
      <c r="L133" s="12"/>
      <c r="M133" s="12"/>
      <c r="N133" s="12"/>
      <c r="O133" s="12"/>
      <c r="P133" s="12"/>
      <c r="Q133" s="13"/>
      <c r="R133" s="12"/>
      <c r="S133" s="12"/>
      <c r="T133" s="14"/>
      <c r="U133" s="17"/>
    </row>
    <row r="134" spans="2:21" ht="24.95" customHeight="1">
      <c r="B134" s="18"/>
      <c r="C134" s="20"/>
      <c r="D134" s="20"/>
      <c r="E134" s="10" t="s">
        <v>122</v>
      </c>
      <c r="F134" s="12">
        <f>35679352.97-2450000</f>
        <v>33229352.969999999</v>
      </c>
      <c r="G134" s="12">
        <v>26382471.590000004</v>
      </c>
      <c r="H134" s="12">
        <f>+F134-G134</f>
        <v>6846881.3799999952</v>
      </c>
      <c r="I134" s="13"/>
      <c r="J134" s="12">
        <v>2450000</v>
      </c>
      <c r="K134" s="12">
        <v>20162007.77</v>
      </c>
      <c r="L134" s="12">
        <f>+J134-K134</f>
        <v>-17712007.77</v>
      </c>
      <c r="M134" s="12"/>
      <c r="N134" s="12">
        <v>1915647.03</v>
      </c>
      <c r="O134" s="12">
        <v>1915647.03</v>
      </c>
      <c r="P134" s="12">
        <f>+N134-O134</f>
        <v>0</v>
      </c>
      <c r="Q134" s="13"/>
      <c r="R134" s="12">
        <f t="shared" ref="R134:S136" si="59">+F134+J134+N134</f>
        <v>37595000</v>
      </c>
      <c r="S134" s="12">
        <f t="shared" si="59"/>
        <v>48460126.390000001</v>
      </c>
      <c r="T134" s="14">
        <f>+R134-S134</f>
        <v>-10865126.390000001</v>
      </c>
      <c r="U134" s="17">
        <f t="shared" si="30"/>
        <v>1.2890045588509111</v>
      </c>
    </row>
    <row r="135" spans="2:21" ht="27.75" customHeight="1">
      <c r="B135" s="18"/>
      <c r="C135" s="10"/>
      <c r="D135" s="10"/>
      <c r="E135" s="22" t="s">
        <v>123</v>
      </c>
      <c r="F135" s="12">
        <v>23307150</v>
      </c>
      <c r="G135" s="12">
        <v>18951966.739999998</v>
      </c>
      <c r="H135" s="12">
        <f>+F135-G135</f>
        <v>4355183.2600000016</v>
      </c>
      <c r="I135" s="13"/>
      <c r="J135" s="12">
        <v>1755000</v>
      </c>
      <c r="K135" s="12">
        <v>1755000</v>
      </c>
      <c r="L135" s="12">
        <f>+J135-K135</f>
        <v>0</v>
      </c>
      <c r="M135" s="12"/>
      <c r="N135" s="12"/>
      <c r="O135" s="12"/>
      <c r="P135" s="12">
        <f>+N135-O135</f>
        <v>0</v>
      </c>
      <c r="Q135" s="13"/>
      <c r="R135" s="12">
        <f t="shared" si="59"/>
        <v>25062150</v>
      </c>
      <c r="S135" s="12">
        <f t="shared" si="59"/>
        <v>20706966.739999998</v>
      </c>
      <c r="T135" s="14">
        <f>+R135-S135</f>
        <v>4355183.2600000016</v>
      </c>
      <c r="U135" s="17">
        <f t="shared" si="30"/>
        <v>0.82622467505780628</v>
      </c>
    </row>
    <row r="136" spans="2:21" ht="27.75" customHeight="1">
      <c r="B136" s="18"/>
      <c r="C136" s="10"/>
      <c r="D136" s="10"/>
      <c r="E136" s="22" t="s">
        <v>124</v>
      </c>
      <c r="F136" s="12">
        <v>15556000</v>
      </c>
      <c r="G136" s="12">
        <v>9490137.2699999996</v>
      </c>
      <c r="H136" s="12">
        <f>+F136-G136</f>
        <v>6065862.7300000004</v>
      </c>
      <c r="I136" s="13"/>
      <c r="J136" s="12">
        <v>1192500</v>
      </c>
      <c r="K136" s="12">
        <v>1026000</v>
      </c>
      <c r="L136" s="12">
        <f>+J136-K136</f>
        <v>166500</v>
      </c>
      <c r="M136" s="12"/>
      <c r="N136" s="12"/>
      <c r="O136" s="12"/>
      <c r="P136" s="12">
        <f>+N136-O136</f>
        <v>0</v>
      </c>
      <c r="Q136" s="13"/>
      <c r="R136" s="12">
        <f t="shared" si="59"/>
        <v>16748500</v>
      </c>
      <c r="S136" s="12">
        <f t="shared" si="59"/>
        <v>10516137.27</v>
      </c>
      <c r="T136" s="14">
        <f>+R136-S136</f>
        <v>6232362.7300000004</v>
      </c>
      <c r="U136" s="17">
        <f t="shared" si="30"/>
        <v>0.62788531928232372</v>
      </c>
    </row>
    <row r="137" spans="2:21" ht="27.75" customHeight="1">
      <c r="B137" s="18"/>
      <c r="C137" s="10"/>
      <c r="D137" s="10"/>
      <c r="E137" s="31" t="s">
        <v>51</v>
      </c>
      <c r="F137" s="32">
        <f>SUM(F108:F136)</f>
        <v>441415386.73000002</v>
      </c>
      <c r="G137" s="32">
        <f t="shared" ref="G137:S137" si="60">SUM(G108:G136)</f>
        <v>767850233.61000001</v>
      </c>
      <c r="H137" s="32">
        <f t="shared" si="60"/>
        <v>-326434846.88</v>
      </c>
      <c r="I137" s="32">
        <f t="shared" si="60"/>
        <v>0</v>
      </c>
      <c r="J137" s="32">
        <f>SUM(J108:J136)</f>
        <v>73672500</v>
      </c>
      <c r="K137" s="32">
        <f t="shared" ref="K137" si="61">SUM(K108:K136)</f>
        <v>93102036.339999989</v>
      </c>
      <c r="L137" s="32">
        <f>SUM(L108:L136)</f>
        <v>-19429536.339999996</v>
      </c>
      <c r="M137" s="32">
        <f t="shared" si="60"/>
        <v>0</v>
      </c>
      <c r="N137" s="32">
        <f>SUM(N108:N136)</f>
        <v>23504294.990000002</v>
      </c>
      <c r="O137" s="32">
        <f t="shared" ref="O137" si="62">SUM(O108:O136)</f>
        <v>33593676.509999998</v>
      </c>
      <c r="P137" s="32">
        <f>SUM(P108:P136)</f>
        <v>-10089381.520000001</v>
      </c>
      <c r="Q137" s="32">
        <f t="shared" si="60"/>
        <v>0</v>
      </c>
      <c r="R137" s="32">
        <f t="shared" si="60"/>
        <v>538592181.72000003</v>
      </c>
      <c r="S137" s="32">
        <f t="shared" si="60"/>
        <v>894545946.45999992</v>
      </c>
      <c r="T137" s="34">
        <f>SUM(T108:T136)</f>
        <v>-355953764.74000001</v>
      </c>
      <c r="U137" s="17">
        <f t="shared" si="30"/>
        <v>1.6608966428054297</v>
      </c>
    </row>
    <row r="138" spans="2:21" ht="24.95" customHeight="1">
      <c r="B138" s="18"/>
      <c r="C138" s="10"/>
      <c r="D138" s="10"/>
      <c r="E138" s="22"/>
      <c r="F138" s="12"/>
      <c r="G138" s="12"/>
      <c r="H138" s="12"/>
      <c r="I138" s="13"/>
      <c r="J138" s="12"/>
      <c r="K138" s="12"/>
      <c r="L138" s="12"/>
      <c r="M138" s="12"/>
      <c r="N138" s="12"/>
      <c r="O138" s="12"/>
      <c r="P138" s="12"/>
      <c r="Q138" s="13"/>
      <c r="R138" s="12"/>
      <c r="S138" s="12"/>
      <c r="T138" s="14"/>
      <c r="U138" s="17"/>
    </row>
    <row r="139" spans="2:21" ht="27.75" customHeight="1">
      <c r="B139" s="18"/>
      <c r="C139" s="24" t="s">
        <v>147</v>
      </c>
      <c r="D139" s="10"/>
      <c r="E139" s="22"/>
      <c r="F139" s="32"/>
      <c r="G139" s="32"/>
      <c r="H139" s="32"/>
      <c r="I139" s="33"/>
      <c r="J139" s="32"/>
      <c r="K139" s="32"/>
      <c r="L139" s="32"/>
      <c r="M139" s="32"/>
      <c r="N139" s="32"/>
      <c r="O139" s="32"/>
      <c r="P139" s="32"/>
      <c r="Q139" s="33"/>
      <c r="R139" s="32"/>
      <c r="S139" s="32"/>
      <c r="T139" s="34"/>
      <c r="U139" s="17"/>
    </row>
    <row r="140" spans="2:21" ht="27.75" customHeight="1">
      <c r="B140" s="18"/>
      <c r="C140" s="10"/>
      <c r="D140" s="10"/>
      <c r="E140" s="10" t="s">
        <v>148</v>
      </c>
      <c r="F140" s="12">
        <v>42572000</v>
      </c>
      <c r="G140" s="12">
        <v>21061814.280000001</v>
      </c>
      <c r="H140" s="12">
        <f>+F140-G140</f>
        <v>21510185.719999999</v>
      </c>
      <c r="I140" s="13"/>
      <c r="J140" s="12"/>
      <c r="K140" s="12"/>
      <c r="L140" s="12">
        <f>+J140-K140</f>
        <v>0</v>
      </c>
      <c r="M140" s="12"/>
      <c r="N140" s="12"/>
      <c r="O140" s="12"/>
      <c r="P140" s="12">
        <f>+N140-O140</f>
        <v>0</v>
      </c>
      <c r="Q140" s="13"/>
      <c r="R140" s="12">
        <f t="shared" ref="R140:S141" si="63">+F140+J140+N140</f>
        <v>42572000</v>
      </c>
      <c r="S140" s="12">
        <f t="shared" si="63"/>
        <v>21061814.280000001</v>
      </c>
      <c r="T140" s="14">
        <f>+R140-S140</f>
        <v>21510185.719999999</v>
      </c>
      <c r="U140" s="17">
        <f t="shared" ref="U140:U141" si="64">+S140/R140</f>
        <v>0.49473396316827967</v>
      </c>
    </row>
    <row r="141" spans="2:21" ht="27.75" customHeight="1">
      <c r="B141" s="18"/>
      <c r="C141" s="10"/>
      <c r="D141" s="10"/>
      <c r="E141" s="10" t="s">
        <v>149</v>
      </c>
      <c r="F141" s="12">
        <v>26102500</v>
      </c>
      <c r="G141" s="12">
        <v>25180789.510000002</v>
      </c>
      <c r="H141" s="12">
        <f>+F141-G141</f>
        <v>921710.48999999836</v>
      </c>
      <c r="I141" s="13"/>
      <c r="J141" s="12"/>
      <c r="K141" s="12"/>
      <c r="L141" s="12">
        <f>+J141-K141</f>
        <v>0</v>
      </c>
      <c r="M141" s="12"/>
      <c r="N141" s="12"/>
      <c r="O141" s="12"/>
      <c r="P141" s="12">
        <f>+N141-O141</f>
        <v>0</v>
      </c>
      <c r="Q141" s="13"/>
      <c r="R141" s="12">
        <f t="shared" si="63"/>
        <v>26102500</v>
      </c>
      <c r="S141" s="12">
        <f t="shared" si="63"/>
        <v>25180789.510000002</v>
      </c>
      <c r="T141" s="14">
        <f>+R141-S141</f>
        <v>921710.48999999836</v>
      </c>
      <c r="U141" s="17">
        <f t="shared" si="64"/>
        <v>0.96468880413753477</v>
      </c>
    </row>
    <row r="142" spans="2:21" ht="24.95" customHeight="1">
      <c r="B142" s="18"/>
      <c r="C142" s="10"/>
      <c r="D142" s="10"/>
      <c r="E142" s="22"/>
      <c r="F142" s="12"/>
      <c r="G142" s="12"/>
      <c r="H142" s="12"/>
      <c r="I142" s="13"/>
      <c r="J142" s="12"/>
      <c r="K142" s="12"/>
      <c r="L142" s="12"/>
      <c r="M142" s="12"/>
      <c r="N142" s="12"/>
      <c r="O142" s="12"/>
      <c r="P142" s="12"/>
      <c r="Q142" s="13"/>
      <c r="R142" s="12"/>
      <c r="S142" s="12"/>
      <c r="T142" s="14"/>
      <c r="U142" s="17"/>
    </row>
    <row r="143" spans="2:21" s="48" customFormat="1" ht="15.75" thickBot="1">
      <c r="B143" s="44"/>
      <c r="C143" s="24"/>
      <c r="D143" s="24"/>
      <c r="E143" s="45" t="s">
        <v>125</v>
      </c>
      <c r="F143" s="46">
        <f>+F8+F51+F81+F104+F137+F49+F50+F140+F141</f>
        <v>3677937676.48</v>
      </c>
      <c r="G143" s="46">
        <f t="shared" ref="G143:H143" si="65">+G8+G51+G81+G104+G137+G49+G50+G140+G141</f>
        <v>5335982802.5285711</v>
      </c>
      <c r="H143" s="46">
        <f t="shared" si="65"/>
        <v>-1658045126.0485709</v>
      </c>
      <c r="I143" s="46">
        <f t="shared" ref="I143:Q143" si="66">+I8+I51+I81+I104+I137+I49+I50</f>
        <v>2208000</v>
      </c>
      <c r="J143" s="46">
        <f>+J8+J51+J81+J104+J137+J49+J50+J140+J141</f>
        <v>413866869.55000001</v>
      </c>
      <c r="K143" s="46">
        <f t="shared" ref="K143:L143" si="67">+K8+K51+K81+K104+K137+K49+K50+K140+K141</f>
        <v>583691920.82000005</v>
      </c>
      <c r="L143" s="46">
        <f t="shared" si="67"/>
        <v>-169825051.27000001</v>
      </c>
      <c r="M143" s="46">
        <f t="shared" si="66"/>
        <v>0</v>
      </c>
      <c r="N143" s="46">
        <f>+N8+N51+N81+N104+N137+N49+N50+N140+N141</f>
        <v>99524721.210000008</v>
      </c>
      <c r="O143" s="46">
        <f t="shared" ref="O143:P143" si="68">+O8+O51+O81+O104+O137+O49+O50+O140+O141</f>
        <v>130402103.78999999</v>
      </c>
      <c r="P143" s="46">
        <f t="shared" si="68"/>
        <v>-30877382.580000006</v>
      </c>
      <c r="Q143" s="46">
        <f t="shared" si="66"/>
        <v>0</v>
      </c>
      <c r="R143" s="46">
        <f>+R8+R51+R81+R104+R137+R49+R50+R140+R141</f>
        <v>4191329267.2399998</v>
      </c>
      <c r="S143" s="46">
        <f t="shared" ref="S143:T143" si="69">+S8+S51+S81+S104+S137+S49+S50+S140+S141</f>
        <v>6050076827.1385698</v>
      </c>
      <c r="T143" s="46">
        <f t="shared" si="69"/>
        <v>-1858747559.898571</v>
      </c>
      <c r="U143" s="47">
        <f>+S143/R143</f>
        <v>1.4434744782345768</v>
      </c>
    </row>
    <row r="144" spans="2:21" ht="15.75" thickTop="1" thickBot="1">
      <c r="B144" s="49"/>
      <c r="C144" s="50"/>
      <c r="D144" s="50"/>
      <c r="E144" s="51"/>
      <c r="F144" s="52"/>
      <c r="G144" s="52"/>
      <c r="H144" s="52"/>
      <c r="I144" s="53"/>
      <c r="J144" s="54"/>
      <c r="K144" s="54"/>
      <c r="L144" s="54"/>
      <c r="M144" s="54"/>
      <c r="N144" s="54"/>
      <c r="O144" s="54"/>
      <c r="P144" s="54"/>
      <c r="Q144" s="53"/>
      <c r="R144" s="54"/>
      <c r="S144" s="54"/>
      <c r="T144" s="55"/>
      <c r="U144" s="56"/>
    </row>
    <row r="145" spans="6:20" ht="24.95" customHeight="1">
      <c r="F145" s="30">
        <f>+F143+J143</f>
        <v>4091804546.0300002</v>
      </c>
      <c r="G145" s="30">
        <f>+G143+K143</f>
        <v>5919674723.3485708</v>
      </c>
      <c r="H145" s="30">
        <f>+F145-G145</f>
        <v>-1827870177.3185706</v>
      </c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6:20" ht="24.95" customHeight="1">
      <c r="F146" s="58" t="s">
        <v>126</v>
      </c>
      <c r="J146" s="58" t="s">
        <v>127</v>
      </c>
      <c r="K146" s="30"/>
      <c r="N146" s="58" t="s">
        <v>128</v>
      </c>
      <c r="R146" s="13"/>
      <c r="S146" s="13"/>
      <c r="T146" s="13"/>
    </row>
    <row r="147" spans="6:20" ht="24.95" customHeight="1">
      <c r="R147" s="13"/>
      <c r="S147" s="13"/>
      <c r="T147" s="13"/>
    </row>
    <row r="148" spans="6:20" ht="24.95" customHeight="1">
      <c r="F148" s="59" t="s">
        <v>129</v>
      </c>
      <c r="J148" s="59" t="s">
        <v>130</v>
      </c>
      <c r="N148" s="59" t="s">
        <v>131</v>
      </c>
      <c r="R148" s="30"/>
      <c r="S148" s="30"/>
      <c r="T148" s="30"/>
    </row>
    <row r="149" spans="6:20" ht="17.25" customHeight="1">
      <c r="F149" s="58" t="s">
        <v>296</v>
      </c>
      <c r="J149" s="58" t="s">
        <v>133</v>
      </c>
      <c r="N149" s="58" t="s">
        <v>134</v>
      </c>
    </row>
  </sheetData>
  <autoFilter ref="B7:U140"/>
  <mergeCells count="11">
    <mergeCell ref="U5:U6"/>
    <mergeCell ref="C11:E11"/>
    <mergeCell ref="B1:T1"/>
    <mergeCell ref="B2:T2"/>
    <mergeCell ref="B3:T3"/>
    <mergeCell ref="B4:T4"/>
    <mergeCell ref="B5:E6"/>
    <mergeCell ref="F5:H5"/>
    <mergeCell ref="J5:L5"/>
    <mergeCell ref="N5:P5"/>
    <mergeCell ref="R5:T5"/>
  </mergeCells>
  <pageMargins left="1.25" right="0" top="0.36" bottom="0.3" header="0.27" footer="0.17"/>
  <pageSetup paperSize="5" scale="55" orientation="landscape" horizontalDpi="0" verticalDpi="0" r:id="rId1"/>
  <headerFooter>
    <oddFooter>&amp;R&amp;"-,Italic"&amp;8Page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 </vt:lpstr>
      <vt:lpstr>november</vt:lpstr>
      <vt:lpstr>december</vt:lpstr>
      <vt:lpstr>as of december</vt:lpstr>
      <vt:lpstr>summary per cluster</vt:lpstr>
      <vt:lpstr>summary</vt:lpstr>
      <vt:lpstr>as of june-regular</vt:lpstr>
      <vt:lpstr>checklist</vt:lpstr>
      <vt:lpstr>summary per cluster-with NTCA</vt:lpstr>
      <vt:lpstr>april!Print_Area</vt:lpstr>
      <vt:lpstr>'as of december'!Print_Area</vt:lpstr>
      <vt:lpstr>'as of june-regular'!Print_Area</vt:lpstr>
      <vt:lpstr>august!Print_Area</vt:lpstr>
      <vt:lpstr>checklist!Print_Area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'october '!Print_Area</vt:lpstr>
      <vt:lpstr>september!Print_Area</vt:lpstr>
      <vt:lpstr>summary!Print_Area</vt:lpstr>
      <vt:lpstr>'summary per cluster'!Print_Area</vt:lpstr>
      <vt:lpstr>'summary per cluster-with NTCA'!Print_Area</vt:lpstr>
      <vt:lpstr>april!Print_Titles</vt:lpstr>
      <vt:lpstr>'as of december'!Print_Titles</vt:lpstr>
      <vt:lpstr>'as of june-regular'!Print_Titles</vt:lpstr>
      <vt:lpstr>august!Print_Titles</vt:lpstr>
      <vt:lpstr>checklist!Print_Titles</vt:lpstr>
      <vt:lpstr>december!Print_Titles</vt:lpstr>
      <vt:lpstr>february!Print_Titles</vt:lpstr>
      <vt:lpstr>january!Print_Titles</vt:lpstr>
      <vt:lpstr>july!Print_Titles</vt:lpstr>
      <vt:lpstr>june!Print_Titles</vt:lpstr>
      <vt:lpstr>march!Print_Titles</vt:lpstr>
      <vt:lpstr>may!Print_Titles</vt:lpstr>
      <vt:lpstr>november!Print_Titles</vt:lpstr>
      <vt:lpstr>'october '!Print_Titles</vt:lpstr>
      <vt:lpstr>september!Print_Titles</vt:lpstr>
      <vt:lpstr>summary!Print_Titles</vt:lpstr>
      <vt:lpstr>'summary per cluster'!Print_Titles</vt:lpstr>
      <vt:lpstr>'summary per cluster-with NTCA'!Print_Titles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 User</cp:lastModifiedBy>
  <cp:lastPrinted>2015-02-18T05:18:39Z</cp:lastPrinted>
  <dcterms:created xsi:type="dcterms:W3CDTF">2014-05-30T05:19:03Z</dcterms:created>
  <dcterms:modified xsi:type="dcterms:W3CDTF">2015-03-06T09:47:50Z</dcterms:modified>
</cp:coreProperties>
</file>