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firstSheet="1" activeTab="1"/>
  </bookViews>
  <sheets>
    <sheet name="revised conso" sheetId="1" state="hidden" r:id="rId1"/>
    <sheet name="revised conso (2)" sheetId="2" r:id="rId2"/>
  </sheets>
  <definedNames>
    <definedName name="_xlnm.Print_Area" localSheetId="1">'revised conso (2)'!$A$1:$X$59</definedName>
  </definedNames>
  <calcPr calcId="124519"/>
</workbook>
</file>

<file path=xl/calcChain.xml><?xml version="1.0" encoding="utf-8"?>
<calcChain xmlns="http://schemas.openxmlformats.org/spreadsheetml/2006/main">
  <c r="C40" i="2"/>
  <c r="C42"/>
  <c r="L40"/>
  <c r="K40"/>
  <c r="C31"/>
  <c r="C33"/>
  <c r="K31"/>
  <c r="K32"/>
  <c r="C22"/>
  <c r="C24"/>
  <c r="B22"/>
  <c r="K22"/>
  <c r="K23"/>
  <c r="J22"/>
  <c r="B24" l="1"/>
  <c r="K42"/>
  <c r="B31"/>
  <c r="K33"/>
  <c r="G51" l="1"/>
  <c r="S45"/>
  <c r="Q45"/>
  <c r="P45"/>
  <c r="O45"/>
  <c r="K45"/>
  <c r="J45"/>
  <c r="H45"/>
  <c r="F45"/>
  <c r="T44"/>
  <c r="W44" s="1"/>
  <c r="R44"/>
  <c r="M44"/>
  <c r="I44"/>
  <c r="E44"/>
  <c r="N44" s="1"/>
  <c r="V43"/>
  <c r="U43"/>
  <c r="T43"/>
  <c r="R43"/>
  <c r="M43"/>
  <c r="I43"/>
  <c r="E43"/>
  <c r="N43" s="1"/>
  <c r="R42"/>
  <c r="M42"/>
  <c r="I42"/>
  <c r="G45"/>
  <c r="V42"/>
  <c r="U42"/>
  <c r="E42"/>
  <c r="N42" s="1"/>
  <c r="V41"/>
  <c r="U41"/>
  <c r="R41"/>
  <c r="M41"/>
  <c r="I41"/>
  <c r="E41"/>
  <c r="N41" s="1"/>
  <c r="R40"/>
  <c r="M40"/>
  <c r="I40"/>
  <c r="D45"/>
  <c r="C45"/>
  <c r="B40"/>
  <c r="E40" s="1"/>
  <c r="V39"/>
  <c r="U39"/>
  <c r="T39"/>
  <c r="W39" s="1"/>
  <c r="R39"/>
  <c r="R45" s="1"/>
  <c r="M39"/>
  <c r="I39"/>
  <c r="E39"/>
  <c r="S36"/>
  <c r="Q36"/>
  <c r="P36"/>
  <c r="O36"/>
  <c r="K36"/>
  <c r="J36"/>
  <c r="F36"/>
  <c r="T35"/>
  <c r="W35" s="1"/>
  <c r="R35"/>
  <c r="M35"/>
  <c r="I35"/>
  <c r="E35"/>
  <c r="N35" s="1"/>
  <c r="V34"/>
  <c r="U34"/>
  <c r="T34"/>
  <c r="R34"/>
  <c r="M34"/>
  <c r="I34"/>
  <c r="E34"/>
  <c r="N34" s="1"/>
  <c r="R33"/>
  <c r="L36"/>
  <c r="H36"/>
  <c r="G36"/>
  <c r="V33"/>
  <c r="U33"/>
  <c r="T33"/>
  <c r="R32"/>
  <c r="M32"/>
  <c r="I32"/>
  <c r="V32"/>
  <c r="U32"/>
  <c r="E32"/>
  <c r="N32" s="1"/>
  <c r="R31"/>
  <c r="M31"/>
  <c r="I31"/>
  <c r="D36"/>
  <c r="U31"/>
  <c r="B36"/>
  <c r="V30"/>
  <c r="U30"/>
  <c r="T30"/>
  <c r="R30"/>
  <c r="R36" s="1"/>
  <c r="M30"/>
  <c r="I30"/>
  <c r="E30"/>
  <c r="S27"/>
  <c r="S46" s="1"/>
  <c r="Q27"/>
  <c r="Q46" s="1"/>
  <c r="P27"/>
  <c r="P46" s="1"/>
  <c r="O27"/>
  <c r="O46" s="1"/>
  <c r="L27"/>
  <c r="J27"/>
  <c r="H27"/>
  <c r="H46" s="1"/>
  <c r="F27"/>
  <c r="F46" s="1"/>
  <c r="W26"/>
  <c r="T26"/>
  <c r="R26"/>
  <c r="M26"/>
  <c r="I26"/>
  <c r="E26"/>
  <c r="N26" s="1"/>
  <c r="V25"/>
  <c r="U25"/>
  <c r="T25"/>
  <c r="R25"/>
  <c r="M25"/>
  <c r="I25"/>
  <c r="E25"/>
  <c r="R24"/>
  <c r="M24"/>
  <c r="K27"/>
  <c r="K46" s="1"/>
  <c r="I24"/>
  <c r="G27"/>
  <c r="G46" s="1"/>
  <c r="V24"/>
  <c r="U24"/>
  <c r="T24"/>
  <c r="R23"/>
  <c r="M23"/>
  <c r="I23"/>
  <c r="D27"/>
  <c r="U23"/>
  <c r="T23"/>
  <c r="V22"/>
  <c r="U22"/>
  <c r="R22"/>
  <c r="M22"/>
  <c r="I22"/>
  <c r="C27"/>
  <c r="B27"/>
  <c r="V21"/>
  <c r="U21"/>
  <c r="T21"/>
  <c r="R21"/>
  <c r="R27" s="1"/>
  <c r="R46" s="1"/>
  <c r="M21"/>
  <c r="M27" s="1"/>
  <c r="I21"/>
  <c r="I27" s="1"/>
  <c r="E21"/>
  <c r="S43" i="1"/>
  <c r="Q43"/>
  <c r="P43"/>
  <c r="O43"/>
  <c r="K43"/>
  <c r="J43"/>
  <c r="F43"/>
  <c r="T42"/>
  <c r="W42" s="1"/>
  <c r="R42"/>
  <c r="M42"/>
  <c r="I42"/>
  <c r="N42" s="1"/>
  <c r="E42"/>
  <c r="R41"/>
  <c r="M41"/>
  <c r="H43"/>
  <c r="I41"/>
  <c r="V41"/>
  <c r="U41"/>
  <c r="T41"/>
  <c r="W41" s="1"/>
  <c r="R40"/>
  <c r="M40"/>
  <c r="L40"/>
  <c r="L43" s="1"/>
  <c r="I40"/>
  <c r="G40"/>
  <c r="G43" s="1"/>
  <c r="D40"/>
  <c r="V40" s="1"/>
  <c r="C40"/>
  <c r="U40" s="1"/>
  <c r="B40"/>
  <c r="T40" s="1"/>
  <c r="W40" s="1"/>
  <c r="V39"/>
  <c r="U39"/>
  <c r="R39"/>
  <c r="M39"/>
  <c r="I39"/>
  <c r="E39"/>
  <c r="N39" s="1"/>
  <c r="B39"/>
  <c r="T39" s="1"/>
  <c r="W39" s="1"/>
  <c r="R38"/>
  <c r="M38"/>
  <c r="I38"/>
  <c r="D38"/>
  <c r="V38" s="1"/>
  <c r="C38"/>
  <c r="C43" s="1"/>
  <c r="B38"/>
  <c r="T38" s="1"/>
  <c r="V37"/>
  <c r="V43" s="1"/>
  <c r="U37"/>
  <c r="T37"/>
  <c r="T43" s="1"/>
  <c r="R37"/>
  <c r="R43" s="1"/>
  <c r="M37"/>
  <c r="M43" s="1"/>
  <c r="I37"/>
  <c r="I43" s="1"/>
  <c r="E37"/>
  <c r="S34"/>
  <c r="Q34"/>
  <c r="P34"/>
  <c r="O34"/>
  <c r="K34"/>
  <c r="J34"/>
  <c r="F34"/>
  <c r="T33"/>
  <c r="W33" s="1"/>
  <c r="R33"/>
  <c r="M33"/>
  <c r="I33"/>
  <c r="N33" s="1"/>
  <c r="E33"/>
  <c r="R32"/>
  <c r="M32"/>
  <c r="I32"/>
  <c r="V32"/>
  <c r="G49"/>
  <c r="T32"/>
  <c r="R31"/>
  <c r="L31"/>
  <c r="M31" s="1"/>
  <c r="H31"/>
  <c r="H34" s="1"/>
  <c r="G31"/>
  <c r="G34" s="1"/>
  <c r="D31"/>
  <c r="V31" s="1"/>
  <c r="C31"/>
  <c r="U31" s="1"/>
  <c r="B31"/>
  <c r="T31" s="1"/>
  <c r="R30"/>
  <c r="M30"/>
  <c r="I30"/>
  <c r="D30"/>
  <c r="V30" s="1"/>
  <c r="C30"/>
  <c r="U30" s="1"/>
  <c r="B30"/>
  <c r="T30" s="1"/>
  <c r="W30" s="1"/>
  <c r="R29"/>
  <c r="M29"/>
  <c r="I29"/>
  <c r="D29"/>
  <c r="V29" s="1"/>
  <c r="C29"/>
  <c r="C34" s="1"/>
  <c r="B29"/>
  <c r="T29" s="1"/>
  <c r="V28"/>
  <c r="V34" s="1"/>
  <c r="U28"/>
  <c r="T28"/>
  <c r="T34" s="1"/>
  <c r="R28"/>
  <c r="R34" s="1"/>
  <c r="M28"/>
  <c r="M34" s="1"/>
  <c r="I28"/>
  <c r="E28"/>
  <c r="S25"/>
  <c r="S44" s="1"/>
  <c r="Q25"/>
  <c r="Q44" s="1"/>
  <c r="P25"/>
  <c r="P44" s="1"/>
  <c r="O25"/>
  <c r="O44" s="1"/>
  <c r="L25"/>
  <c r="J25"/>
  <c r="J44" s="1"/>
  <c r="H25"/>
  <c r="H44" s="1"/>
  <c r="F25"/>
  <c r="F44" s="1"/>
  <c r="W24"/>
  <c r="T24"/>
  <c r="R24"/>
  <c r="M24"/>
  <c r="I24"/>
  <c r="E24"/>
  <c r="N24" s="1"/>
  <c r="V23"/>
  <c r="R23"/>
  <c r="M23"/>
  <c r="I23"/>
  <c r="U23"/>
  <c r="T23"/>
  <c r="W23" s="1"/>
  <c r="R22"/>
  <c r="K22"/>
  <c r="K25" s="1"/>
  <c r="K44" s="1"/>
  <c r="G22"/>
  <c r="G25" s="1"/>
  <c r="G44" s="1"/>
  <c r="D22"/>
  <c r="V22" s="1"/>
  <c r="C22"/>
  <c r="U22" s="1"/>
  <c r="B22"/>
  <c r="T22" s="1"/>
  <c r="W22" s="1"/>
  <c r="R21"/>
  <c r="M21"/>
  <c r="I21"/>
  <c r="D21"/>
  <c r="V21" s="1"/>
  <c r="C21"/>
  <c r="U21" s="1"/>
  <c r="B21"/>
  <c r="T21" s="1"/>
  <c r="W21" s="1"/>
  <c r="V20"/>
  <c r="R20"/>
  <c r="M20"/>
  <c r="I20"/>
  <c r="C20"/>
  <c r="C25" s="1"/>
  <c r="C44" s="1"/>
  <c r="B20"/>
  <c r="T20" s="1"/>
  <c r="V19"/>
  <c r="U19"/>
  <c r="T19"/>
  <c r="W19" s="1"/>
  <c r="R19"/>
  <c r="R25" s="1"/>
  <c r="R44" s="1"/>
  <c r="M19"/>
  <c r="I19"/>
  <c r="E19"/>
  <c r="W43" i="2" l="1"/>
  <c r="D46"/>
  <c r="E45"/>
  <c r="W34"/>
  <c r="U27"/>
  <c r="M45"/>
  <c r="J46"/>
  <c r="N25"/>
  <c r="W25"/>
  <c r="I45"/>
  <c r="N40"/>
  <c r="U36"/>
  <c r="W24"/>
  <c r="W33"/>
  <c r="Y33" s="1"/>
  <c r="N21"/>
  <c r="E22"/>
  <c r="N22" s="1"/>
  <c r="E23"/>
  <c r="N23" s="1"/>
  <c r="E24"/>
  <c r="N24" s="1"/>
  <c r="N30"/>
  <c r="T31"/>
  <c r="V31"/>
  <c r="V36" s="1"/>
  <c r="T32"/>
  <c r="W32" s="1"/>
  <c r="I33"/>
  <c r="I36" s="1"/>
  <c r="M33"/>
  <c r="M36" s="1"/>
  <c r="M46" s="1"/>
  <c r="C36"/>
  <c r="C46" s="1"/>
  <c r="N39"/>
  <c r="T40"/>
  <c r="V40"/>
  <c r="V45" s="1"/>
  <c r="T41"/>
  <c r="W41" s="1"/>
  <c r="T42"/>
  <c r="W42" s="1"/>
  <c r="Y42" s="1"/>
  <c r="B45"/>
  <c r="B46" s="1"/>
  <c r="L45"/>
  <c r="L46" s="1"/>
  <c r="W21"/>
  <c r="T22"/>
  <c r="W22" s="1"/>
  <c r="V23"/>
  <c r="V27" s="1"/>
  <c r="W30"/>
  <c r="E31"/>
  <c r="N31" s="1"/>
  <c r="E33"/>
  <c r="N33" s="1"/>
  <c r="U40"/>
  <c r="U45" s="1"/>
  <c r="V25" i="1"/>
  <c r="V44" s="1"/>
  <c r="W31"/>
  <c r="N19"/>
  <c r="E20"/>
  <c r="N20" s="1"/>
  <c r="U20"/>
  <c r="W20" s="1"/>
  <c r="W25" s="1"/>
  <c r="E21"/>
  <c r="N21" s="1"/>
  <c r="E22"/>
  <c r="I22"/>
  <c r="I25" s="1"/>
  <c r="M22"/>
  <c r="M25" s="1"/>
  <c r="M44" s="1"/>
  <c r="B25"/>
  <c r="D25"/>
  <c r="T25"/>
  <c r="T44" s="1"/>
  <c r="W28"/>
  <c r="E29"/>
  <c r="N29" s="1"/>
  <c r="U29"/>
  <c r="W29" s="1"/>
  <c r="E30"/>
  <c r="N30" s="1"/>
  <c r="E31"/>
  <c r="U32"/>
  <c r="W32" s="1"/>
  <c r="B34"/>
  <c r="D34"/>
  <c r="L34"/>
  <c r="L44" s="1"/>
  <c r="W37"/>
  <c r="E38"/>
  <c r="N38" s="1"/>
  <c r="U38"/>
  <c r="U43" s="1"/>
  <c r="E40"/>
  <c r="N40" s="1"/>
  <c r="E41"/>
  <c r="N41" s="1"/>
  <c r="B43"/>
  <c r="D43"/>
  <c r="E23"/>
  <c r="N23" s="1"/>
  <c r="N28"/>
  <c r="I31"/>
  <c r="I34" s="1"/>
  <c r="E32"/>
  <c r="N32" s="1"/>
  <c r="N37"/>
  <c r="N45" i="2" l="1"/>
  <c r="U46"/>
  <c r="I46"/>
  <c r="W31"/>
  <c r="W36" s="1"/>
  <c r="V46"/>
  <c r="T45"/>
  <c r="W40"/>
  <c r="W45" s="1"/>
  <c r="N36"/>
  <c r="N27"/>
  <c r="T27"/>
  <c r="E27"/>
  <c r="T36"/>
  <c r="E36"/>
  <c r="W23"/>
  <c r="Y22" s="1"/>
  <c r="N43" i="1"/>
  <c r="I44"/>
  <c r="B44"/>
  <c r="W38"/>
  <c r="W43" s="1"/>
  <c r="U34"/>
  <c r="U25"/>
  <c r="E43"/>
  <c r="E34"/>
  <c r="E25"/>
  <c r="E44" s="1"/>
  <c r="N31"/>
  <c r="N34" s="1"/>
  <c r="W34"/>
  <c r="D44"/>
  <c r="N22"/>
  <c r="N25" s="1"/>
  <c r="Y41" i="2" l="1"/>
  <c r="Y32"/>
  <c r="W27"/>
  <c r="W46" s="1"/>
  <c r="E46"/>
  <c r="N46"/>
  <c r="T46"/>
  <c r="N44" i="1"/>
  <c r="W44"/>
  <c r="U44"/>
</calcChain>
</file>

<file path=xl/comments1.xml><?xml version="1.0" encoding="utf-8"?>
<comments xmlns="http://schemas.openxmlformats.org/spreadsheetml/2006/main">
  <authors>
    <author>HP</author>
  </authors>
  <commentList>
    <comment ref="B29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of PS: April-June 2013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MOOE: April-June 2013-
MOOE(CY &amp; CONAP)
</t>
        </r>
      </text>
    </comment>
    <comment ref="D29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CO(April-June)- CY &amp; Conap)</t>
        </r>
      </text>
    </comment>
    <comment ref="B3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toal PS: total NCA in ADA(Terminal Leave)</t>
        </r>
      </text>
    </comment>
    <comment ref="C3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MOOE; total NCA in ADA(for external creditors)
</t>
        </r>
      </text>
    </comment>
    <comment ref="D3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CO; total CO in ADA(obligated as 300)</t>
        </r>
      </text>
    </comment>
    <comment ref="B3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RegSal &amp; OT tax(April-June)</t>
        </r>
      </text>
    </comment>
    <comment ref="C3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 tax(current)
</t>
        </r>
      </text>
    </comment>
    <comment ref="D3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 tax</t>
        </r>
      </text>
    </comment>
    <comment ref="G3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 tax(conap)
</t>
        </r>
      </text>
    </comment>
    <comment ref="H3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412 of CO-conap(obligated as conap)
</t>
        </r>
      </text>
    </comment>
    <comment ref="L3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 tax(obligated PYA)</t>
        </r>
      </text>
    </comment>
    <comment ref="B3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of PS(April-June2013)</t>
        </r>
      </text>
    </comment>
    <comment ref="C3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MOOE(April-June)- Current Year Only
</t>
        </r>
      </text>
    </comment>
    <comment ref="D3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CO(april-june)- Current Year only
</t>
        </r>
      </text>
    </comment>
    <comment ref="G3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MOOE(April-June)- Conap</t>
        </r>
      </text>
    </comment>
    <comment ref="H3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CO(April-June)- Conap</t>
        </r>
      </text>
    </comment>
    <comment ref="B38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of PS: July-September 2013</t>
        </r>
      </text>
    </comment>
    <comment ref="C38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MOOE: July-September 2013-
MOOE(CY &amp; CONAP)
</t>
        </r>
      </text>
    </comment>
    <comment ref="D38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CO; July-September 2013 (CY &amp; Conap)</t>
        </r>
      </text>
    </comment>
    <comment ref="B39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toal PS: total NCA in ADA(Terminal Leave)</t>
        </r>
      </text>
    </comment>
    <comment ref="C39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MOOE; total NCA in ADA(for external creditors)
</t>
        </r>
      </text>
    </comment>
    <comment ref="D39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CO; total CO in ADA(obligated as 300)</t>
        </r>
      </text>
    </comment>
    <comment ref="B4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RegSal &amp; OT tax(July-September2013)</t>
        </r>
      </text>
    </comment>
    <comment ref="C4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 tax(current)
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 tax</t>
        </r>
      </text>
    </comment>
    <comment ref="G4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 tax(conap)
</t>
        </r>
      </text>
    </comment>
    <comment ref="H4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412 of CO-conap(obligated as conap)
</t>
        </r>
      </text>
    </comment>
    <comment ref="L4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 tax(obligated PYA)</t>
        </r>
      </text>
    </comment>
    <comment ref="B4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of PS: July-September 2013</t>
        </r>
      </text>
    </comment>
    <comment ref="C4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MOOE(July-September)- Current Year Only
</t>
        </r>
      </text>
    </comment>
    <comment ref="D4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CO(June-September)- Current Year only
</t>
        </r>
      </text>
    </comment>
    <comment ref="G4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MOOE(July-September)- Conap</t>
        </r>
      </text>
    </comment>
    <comment ref="H4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CO(July-September)- Conap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B3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of PS: April-June 2013</t>
        </r>
      </text>
    </comment>
    <comment ref="C3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MOOE: April-June 2013-
MOOE(CY &amp; CONAP)
</t>
        </r>
      </text>
    </comment>
    <comment ref="D3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CO(April-June)- CY &amp; Conap)</t>
        </r>
      </text>
    </comment>
    <comment ref="B3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toal PS: total NCA in ADA(Terminal Leave)</t>
        </r>
      </text>
    </comment>
    <comment ref="C3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MOOE; total NCA in ADA(for external creditors)
</t>
        </r>
      </text>
    </comment>
    <comment ref="D3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CO; total CO in ADA(obligated as 300)</t>
        </r>
      </text>
    </comment>
    <comment ref="B3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RegSal &amp; OT tax(April-June)</t>
        </r>
      </text>
    </comment>
    <comment ref="C3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 tax(current)
</t>
        </r>
      </text>
    </comment>
    <comment ref="D3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 tax</t>
        </r>
      </text>
    </comment>
    <comment ref="G3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 tax(conap)
</t>
        </r>
      </text>
    </comment>
    <comment ref="H3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412 of CO-conap(obligated as conap)
</t>
        </r>
      </text>
    </comment>
    <comment ref="L3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 tax(obligated PYA)</t>
        </r>
      </text>
    </comment>
    <comment ref="B34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of PS(April-June2013)</t>
        </r>
      </text>
    </comment>
    <comment ref="C34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MOOE(April-June)- Current Year Only
</t>
        </r>
      </text>
    </comment>
    <comment ref="D34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CO(april-june)- Current Year only
</t>
        </r>
      </text>
    </comment>
    <comment ref="G34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MOOE(April-June)- Conap</t>
        </r>
      </text>
    </comment>
    <comment ref="H34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CO(April-June)- Conap</t>
        </r>
      </text>
    </comment>
    <comment ref="B4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of PS: July-September 2013</t>
        </r>
      </text>
    </comment>
    <comment ref="C4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MOOE: July-September 2013-
MOOE(CY &amp; CONAP)
</t>
        </r>
      </text>
    </comment>
    <comment ref="D40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CO; July-September 2013 (CY &amp; Conap)</t>
        </r>
      </text>
    </comment>
    <comment ref="B4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toal PS: total NCA in ADA(Terminal Leave)</t>
        </r>
      </text>
    </comment>
    <comment ref="C4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MOOE; total NCA in ADA(for external creditors)
</t>
        </r>
      </text>
    </comment>
    <comment ref="D41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CO; total CO in ADA(obligated as 300)</t>
        </r>
      </text>
    </comment>
    <comment ref="B4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RegSal &amp; OT tax(July-September2013)</t>
        </r>
      </text>
    </comment>
    <comment ref="C4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 tax(current)
</t>
        </r>
      </text>
    </comment>
    <comment ref="D4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 tax</t>
        </r>
      </text>
    </comment>
    <comment ref="G4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 tax(conap)
</t>
        </r>
      </text>
    </comment>
    <comment ref="H4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412 of CO-conap(obligated as conap)
</t>
        </r>
      </text>
    </comment>
    <comment ref="K4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 tax(obligated PYA)</t>
        </r>
      </text>
    </comment>
    <comment ref="L42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 tax(obligated PYA)</t>
        </r>
      </text>
    </comment>
    <comment ref="B4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of PS: July-September 2013</t>
        </r>
      </text>
    </comment>
    <comment ref="C4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MOOE(July-September)- Current Year Only
</t>
        </r>
      </text>
    </comment>
    <comment ref="D4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CO(June-September)- Current Year only
</t>
        </r>
      </text>
    </comment>
    <comment ref="G4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MOOE(July-September)- Conap</t>
        </r>
      </text>
    </comment>
    <comment ref="H43" author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total CO(July-September)- Conap</t>
        </r>
      </text>
    </comment>
  </commentList>
</comments>
</file>

<file path=xl/sharedStrings.xml><?xml version="1.0" encoding="utf-8"?>
<sst xmlns="http://schemas.openxmlformats.org/spreadsheetml/2006/main" count="164" uniqueCount="57">
  <si>
    <t>ANNEX D</t>
  </si>
  <si>
    <t>SUMMARY REPORT OF DISBURSEMENT</t>
  </si>
  <si>
    <t>In Pesos</t>
  </si>
  <si>
    <t xml:space="preserve">Department: </t>
  </si>
  <si>
    <t>DEPARTMENT OF HEALTH</t>
  </si>
  <si>
    <t>Agency/Operating Unit:</t>
  </si>
  <si>
    <t>Central Office</t>
  </si>
  <si>
    <t>Region/Province/City:</t>
  </si>
  <si>
    <t>Metro Manila</t>
  </si>
  <si>
    <t>Fund:</t>
  </si>
  <si>
    <t>GOP- 101</t>
  </si>
  <si>
    <t>PARTICULARS</t>
  </si>
  <si>
    <t>CURRENT YEAR BUDGET</t>
  </si>
  <si>
    <t>PRIOR YEAR'S BUDGET</t>
  </si>
  <si>
    <t>PRIOR YEAR'S OBLIGATION</t>
  </si>
  <si>
    <t>SUB-TOTAL</t>
  </si>
  <si>
    <t>TRUST LIABILITIES</t>
  </si>
  <si>
    <t>OTHERS</t>
  </si>
  <si>
    <t>GRAND TOTAL</t>
  </si>
  <si>
    <t>REMARKS</t>
  </si>
  <si>
    <t>PS</t>
  </si>
  <si>
    <t>MOOE</t>
  </si>
  <si>
    <t>CO</t>
  </si>
  <si>
    <t>TOTAL</t>
  </si>
  <si>
    <t>( 1 )</t>
  </si>
  <si>
    <t>( 2 )</t>
  </si>
  <si>
    <t>( 3 )</t>
  </si>
  <si>
    <t>( 4 )</t>
  </si>
  <si>
    <t>(5)=2+3+4</t>
  </si>
  <si>
    <t>( 6 )</t>
  </si>
  <si>
    <t>( 7 )</t>
  </si>
  <si>
    <t>( 8 )</t>
  </si>
  <si>
    <t>( 9 )</t>
  </si>
  <si>
    <t>FIRST QUARTER</t>
  </si>
  <si>
    <t xml:space="preserve">   Notice of Cash Allocation</t>
  </si>
  <si>
    <t xml:space="preserve">      MDS Checks Issued</t>
  </si>
  <si>
    <t xml:space="preserve">        Advice to Debit Account</t>
  </si>
  <si>
    <t>Tax Remittance Advices Issued</t>
  </si>
  <si>
    <t xml:space="preserve">     Cash Disbursement Ceiling</t>
  </si>
  <si>
    <t xml:space="preserve">  Non-Cash Availment Authority</t>
  </si>
  <si>
    <t xml:space="preserve">           T  O  T  A  L</t>
  </si>
  <si>
    <t>SECOND QUARTER</t>
  </si>
  <si>
    <t xml:space="preserve">     Notice of Cash Allocation</t>
  </si>
  <si>
    <t xml:space="preserve">          MDS Checks Issued</t>
  </si>
  <si>
    <t xml:space="preserve">          Advice to Debit Account</t>
  </si>
  <si>
    <t>THIRD QUARTER</t>
  </si>
  <si>
    <t xml:space="preserve">     Tax Remittance Advices Issued</t>
  </si>
  <si>
    <t xml:space="preserve">     Non-Cash Availment Authority</t>
  </si>
  <si>
    <t>Certified Correct:</t>
  </si>
  <si>
    <t>Approved by:</t>
  </si>
  <si>
    <t>RACQUEL P. ALVENDIA, CPA, MBAH</t>
  </si>
  <si>
    <t>LAUREANO C. CRUZ</t>
  </si>
  <si>
    <t>Chief Accountant</t>
  </si>
  <si>
    <t>OIC, Finance Service</t>
  </si>
  <si>
    <r>
      <t>For the Quarter Ending September 30</t>
    </r>
    <r>
      <rPr>
        <b/>
        <sz val="14"/>
        <color indexed="8"/>
        <rFont val="Arial"/>
        <family val="2"/>
      </rPr>
      <t xml:space="preserve">, CY </t>
    </r>
    <r>
      <rPr>
        <b/>
        <u/>
        <sz val="14"/>
        <color indexed="8"/>
        <rFont val="Arial"/>
        <family val="2"/>
      </rPr>
      <t>2013</t>
    </r>
  </si>
  <si>
    <t>For the Quarter Ending September 30, 2013</t>
  </si>
  <si>
    <t xml:space="preserve"> SUMMARY REPORT OF DISBURSEMENTS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</si>
</sst>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b/>
      <sz val="12"/>
      <color theme="1"/>
      <name val="Arial"/>
      <family val="2"/>
    </font>
    <font>
      <b/>
      <u/>
      <sz val="12"/>
      <name val="Tahoma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u val="singleAccounting"/>
      <sz val="9"/>
      <color theme="1"/>
      <name val="Arial"/>
      <family val="2"/>
    </font>
    <font>
      <b/>
      <u val="doubleAccounting"/>
      <sz val="9"/>
      <color theme="1"/>
      <name val="Arial"/>
      <family val="2"/>
    </font>
    <font>
      <b/>
      <u/>
      <sz val="9"/>
      <color theme="1"/>
      <name val="Arial"/>
      <family val="2"/>
    </font>
    <font>
      <b/>
      <u val="doubleAccounting"/>
      <sz val="10"/>
      <color theme="1"/>
      <name val="Arial"/>
      <family val="2"/>
    </font>
    <font>
      <b/>
      <sz val="14"/>
      <name val="Tahoma"/>
      <family val="2"/>
    </font>
    <font>
      <b/>
      <sz val="14"/>
      <color theme="1"/>
      <name val="Tahoma"/>
      <family val="2"/>
    </font>
    <font>
      <sz val="14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43" fontId="2" fillId="0" borderId="0" xfId="1" applyFont="1"/>
    <xf numFmtId="0" fontId="5" fillId="0" borderId="0" xfId="0" applyFont="1"/>
    <xf numFmtId="0" fontId="6" fillId="0" borderId="0" xfId="0" applyFont="1" applyFill="1"/>
    <xf numFmtId="43" fontId="5" fillId="0" borderId="0" xfId="1" applyFont="1"/>
    <xf numFmtId="0" fontId="6" fillId="0" borderId="0" xfId="0" applyFont="1" applyFill="1" applyAlignment="1">
      <alignment horizontal="left"/>
    </xf>
    <xf numFmtId="0" fontId="7" fillId="0" borderId="1" xfId="0" applyFont="1" applyBorder="1"/>
    <xf numFmtId="43" fontId="7" fillId="0" borderId="1" xfId="1" applyFont="1" applyBorder="1"/>
    <xf numFmtId="0" fontId="7" fillId="0" borderId="0" xfId="0" applyFont="1"/>
    <xf numFmtId="43" fontId="7" fillId="0" borderId="13" xfId="1" applyFont="1" applyBorder="1" applyAlignment="1">
      <alignment horizontal="center"/>
    </xf>
    <xf numFmtId="43" fontId="7" fillId="0" borderId="14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43" fontId="7" fillId="0" borderId="3" xfId="1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0" fontId="8" fillId="0" borderId="17" xfId="0" quotePrefix="1" applyFont="1" applyBorder="1" applyAlignment="1">
      <alignment horizontal="center"/>
    </xf>
    <xf numFmtId="43" fontId="8" fillId="0" borderId="17" xfId="1" quotePrefix="1" applyFont="1" applyBorder="1" applyAlignment="1">
      <alignment horizontal="center"/>
    </xf>
    <xf numFmtId="0" fontId="8" fillId="0" borderId="0" xfId="0" applyFont="1"/>
    <xf numFmtId="43" fontId="9" fillId="0" borderId="20" xfId="1" applyFont="1" applyBorder="1"/>
    <xf numFmtId="0" fontId="9" fillId="0" borderId="0" xfId="0" applyFont="1" applyBorder="1"/>
    <xf numFmtId="43" fontId="9" fillId="0" borderId="22" xfId="1" applyFont="1" applyBorder="1"/>
    <xf numFmtId="0" fontId="9" fillId="0" borderId="21" xfId="0" applyFont="1" applyBorder="1"/>
    <xf numFmtId="0" fontId="8" fillId="0" borderId="23" xfId="0" applyFont="1" applyBorder="1" applyAlignment="1">
      <alignment vertical="center"/>
    </xf>
    <xf numFmtId="43" fontId="10" fillId="0" borderId="24" xfId="1" applyFont="1" applyBorder="1" applyAlignment="1">
      <alignment vertical="center"/>
    </xf>
    <xf numFmtId="43" fontId="11" fillId="0" borderId="24" xfId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3" fontId="12" fillId="0" borderId="24" xfId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43" fontId="7" fillId="0" borderId="20" xfId="1" applyFont="1" applyBorder="1"/>
    <xf numFmtId="0" fontId="7" fillId="0" borderId="0" xfId="0" applyFont="1" applyBorder="1"/>
    <xf numFmtId="43" fontId="7" fillId="0" borderId="22" xfId="1" applyFont="1" applyBorder="1"/>
    <xf numFmtId="0" fontId="5" fillId="0" borderId="23" xfId="0" applyFont="1" applyBorder="1"/>
    <xf numFmtId="43" fontId="13" fillId="0" borderId="24" xfId="1" applyFont="1" applyBorder="1"/>
    <xf numFmtId="43" fontId="7" fillId="0" borderId="0" xfId="1" applyFont="1"/>
    <xf numFmtId="43" fontId="7" fillId="0" borderId="0" xfId="1" applyFont="1" applyBorder="1"/>
    <xf numFmtId="15" fontId="14" fillId="0" borderId="0" xfId="1" applyNumberFormat="1" applyFont="1" applyBorder="1"/>
    <xf numFmtId="43" fontId="15" fillId="0" borderId="0" xfId="1" applyFont="1"/>
    <xf numFmtId="15" fontId="16" fillId="0" borderId="0" xfId="0" applyNumberFormat="1" applyFont="1"/>
    <xf numFmtId="15" fontId="16" fillId="0" borderId="0" xfId="1" applyNumberFormat="1" applyFont="1" applyBorder="1"/>
    <xf numFmtId="43" fontId="7" fillId="0" borderId="4" xfId="1" applyFont="1" applyBorder="1" applyAlignment="1">
      <alignment horizontal="center"/>
    </xf>
    <xf numFmtId="43" fontId="7" fillId="0" borderId="3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43" fontId="11" fillId="0" borderId="24" xfId="1" applyFont="1" applyBorder="1"/>
    <xf numFmtId="0" fontId="8" fillId="0" borderId="0" xfId="0" applyFont="1" applyBorder="1"/>
    <xf numFmtId="43" fontId="9" fillId="0" borderId="0" xfId="0" applyNumberFormat="1" applyFont="1" applyBorder="1"/>
    <xf numFmtId="43" fontId="7" fillId="0" borderId="0" xfId="0" applyNumberFormat="1" applyFont="1" applyBorder="1"/>
    <xf numFmtId="43" fontId="2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3" fontId="7" fillId="0" borderId="3" xfId="1" applyFont="1" applyBorder="1" applyAlignment="1">
      <alignment horizontal="center"/>
    </xf>
    <xf numFmtId="43" fontId="7" fillId="0" borderId="4" xfId="1" applyFont="1" applyBorder="1" applyAlignment="1">
      <alignment horizontal="center"/>
    </xf>
    <xf numFmtId="43" fontId="7" fillId="0" borderId="5" xfId="1" applyFont="1" applyBorder="1" applyAlignment="1">
      <alignment horizontal="center"/>
    </xf>
    <xf numFmtId="43" fontId="7" fillId="0" borderId="6" xfId="1" applyFont="1" applyBorder="1" applyAlignment="1">
      <alignment horizontal="center"/>
    </xf>
    <xf numFmtId="43" fontId="7" fillId="0" borderId="7" xfId="1" applyFont="1" applyBorder="1" applyAlignment="1">
      <alignment horizontal="center"/>
    </xf>
    <xf numFmtId="43" fontId="7" fillId="0" borderId="8" xfId="1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10" xfId="1" applyFont="1" applyBorder="1" applyAlignment="1">
      <alignment horizontal="center" wrapText="1"/>
    </xf>
    <xf numFmtId="43" fontId="7" fillId="0" borderId="15" xfId="1" applyFont="1" applyBorder="1" applyAlignment="1">
      <alignment horizontal="center" wrapText="1"/>
    </xf>
    <xf numFmtId="43" fontId="13" fillId="0" borderId="25" xfId="1" applyFont="1" applyBorder="1" applyAlignment="1">
      <alignment horizontal="center" vertical="center"/>
    </xf>
    <xf numFmtId="43" fontId="13" fillId="0" borderId="26" xfId="1" applyFont="1" applyBorder="1" applyAlignment="1">
      <alignment horizontal="center" vertical="center"/>
    </xf>
    <xf numFmtId="43" fontId="7" fillId="0" borderId="8" xfId="1" applyFont="1" applyBorder="1" applyAlignment="1">
      <alignment horizontal="center" vertical="center"/>
    </xf>
    <xf numFmtId="43" fontId="7" fillId="0" borderId="16" xfId="1" applyFont="1" applyBorder="1" applyAlignment="1">
      <alignment horizontal="center" vertical="center"/>
    </xf>
    <xf numFmtId="43" fontId="7" fillId="0" borderId="11" xfId="1" applyFont="1" applyBorder="1" applyAlignment="1">
      <alignment horizontal="center"/>
    </xf>
    <xf numFmtId="43" fontId="8" fillId="0" borderId="11" xfId="1" quotePrefix="1" applyFont="1" applyBorder="1" applyAlignment="1">
      <alignment horizontal="center"/>
    </xf>
    <xf numFmtId="43" fontId="8" fillId="0" borderId="4" xfId="1" applyFont="1" applyBorder="1" applyAlignment="1">
      <alignment horizontal="center"/>
    </xf>
    <xf numFmtId="43" fontId="8" fillId="0" borderId="5" xfId="1" applyFont="1" applyBorder="1" applyAlignment="1">
      <alignment horizontal="center"/>
    </xf>
    <xf numFmtId="43" fontId="8" fillId="0" borderId="3" xfId="1" quotePrefix="1" applyFont="1" applyBorder="1" applyAlignment="1">
      <alignment horizontal="center"/>
    </xf>
    <xf numFmtId="43" fontId="8" fillId="0" borderId="18" xfId="1" applyFont="1" applyBorder="1" applyAlignment="1">
      <alignment horizontal="center"/>
    </xf>
    <xf numFmtId="0" fontId="9" fillId="0" borderId="19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43" fontId="7" fillId="0" borderId="19" xfId="1" applyFont="1" applyBorder="1" applyAlignment="1">
      <alignment horizontal="center"/>
    </xf>
    <xf numFmtId="43" fontId="7" fillId="0" borderId="23" xfId="1" applyFont="1" applyBorder="1" applyAlignment="1">
      <alignment horizontal="center"/>
    </xf>
    <xf numFmtId="43" fontId="11" fillId="0" borderId="25" xfId="1" applyFont="1" applyBorder="1" applyAlignment="1">
      <alignment horizontal="center" vertical="center"/>
    </xf>
    <xf numFmtId="43" fontId="11" fillId="0" borderId="26" xfId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3" fontId="8" fillId="0" borderId="19" xfId="1" applyFont="1" applyBorder="1" applyAlignment="1">
      <alignment horizontal="center"/>
    </xf>
    <xf numFmtId="43" fontId="8" fillId="0" borderId="23" xfId="1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59"/>
  <sheetViews>
    <sheetView topLeftCell="A4" workbookViewId="0">
      <selection activeCell="G22" sqref="G22"/>
    </sheetView>
  </sheetViews>
  <sheetFormatPr defaultRowHeight="12.75"/>
  <cols>
    <col min="1" max="1" width="24.85546875" style="9" customWidth="1"/>
    <col min="2" max="2" width="18.42578125" style="33" customWidth="1"/>
    <col min="3" max="3" width="16.28515625" style="33" customWidth="1"/>
    <col min="4" max="4" width="14.5703125" style="33" customWidth="1"/>
    <col min="5" max="5" width="18.140625" style="33" customWidth="1"/>
    <col min="6" max="6" width="6.42578125" style="33" customWidth="1"/>
    <col min="7" max="7" width="15.28515625" style="33" customWidth="1"/>
    <col min="8" max="8" width="14.42578125" style="33" customWidth="1"/>
    <col min="9" max="9" width="15.140625" style="33" customWidth="1"/>
    <col min="10" max="10" width="6.140625" style="33" customWidth="1"/>
    <col min="11" max="11" width="11" style="33" customWidth="1"/>
    <col min="12" max="12" width="14.42578125" style="33" customWidth="1"/>
    <col min="13" max="13" width="13.7109375" style="33" customWidth="1"/>
    <col min="14" max="14" width="18.140625" style="33" customWidth="1"/>
    <col min="15" max="18" width="6.28515625" style="33" customWidth="1"/>
    <col min="19" max="19" width="8" style="33" customWidth="1"/>
    <col min="20" max="20" width="15.42578125" style="33" customWidth="1"/>
    <col min="21" max="21" width="16.140625" style="33" customWidth="1"/>
    <col min="22" max="22" width="14.5703125" style="33" customWidth="1"/>
    <col min="23" max="23" width="17.140625" style="33" customWidth="1"/>
    <col min="24" max="24" width="9" style="33" customWidth="1"/>
    <col min="25" max="25" width="11.140625" style="9" bestFit="1" customWidth="1"/>
    <col min="26" max="16384" width="9.140625" style="9"/>
  </cols>
  <sheetData>
    <row r="1" spans="1:24" s="1" customFormat="1" ht="18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46" t="s">
        <v>0</v>
      </c>
      <c r="X1" s="46"/>
    </row>
    <row r="2" spans="1:24" s="1" customFormat="1" ht="18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</row>
    <row r="3" spans="1:24" s="1" customFormat="1" ht="18">
      <c r="A3" s="47" t="s">
        <v>54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</row>
    <row r="4" spans="1:24" s="1" customFormat="1" ht="18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</row>
    <row r="5" spans="1:24" s="1" customFormat="1" ht="18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s="1" customFormat="1" ht="18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1" customFormat="1" ht="18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s="1" customFormat="1" ht="18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s="3" customFormat="1" ht="15.75">
      <c r="A9" s="3" t="s">
        <v>3</v>
      </c>
      <c r="B9" s="4" t="s">
        <v>4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s="3" customFormat="1" ht="15.75">
      <c r="A10" s="3" t="s">
        <v>5</v>
      </c>
      <c r="B10" s="4" t="s">
        <v>6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s="3" customFormat="1" ht="15.75">
      <c r="A11" s="3" t="s">
        <v>7</v>
      </c>
      <c r="B11" s="4" t="s">
        <v>8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s="3" customFormat="1" ht="15.75">
      <c r="A12" s="3" t="s">
        <v>9</v>
      </c>
      <c r="B12" s="6" t="s">
        <v>10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13.5" thickBot="1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ht="13.5" thickBot="1">
      <c r="A14" s="48" t="s">
        <v>11</v>
      </c>
      <c r="B14" s="50" t="s">
        <v>12</v>
      </c>
      <c r="C14" s="51"/>
      <c r="D14" s="51"/>
      <c r="E14" s="52"/>
      <c r="F14" s="53" t="s">
        <v>13</v>
      </c>
      <c r="G14" s="54"/>
      <c r="H14" s="54"/>
      <c r="I14" s="55"/>
      <c r="J14" s="56" t="s">
        <v>14</v>
      </c>
      <c r="K14" s="51"/>
      <c r="L14" s="51"/>
      <c r="M14" s="51"/>
      <c r="N14" s="57" t="s">
        <v>15</v>
      </c>
      <c r="O14" s="51" t="s">
        <v>16</v>
      </c>
      <c r="P14" s="51"/>
      <c r="Q14" s="51"/>
      <c r="R14" s="51"/>
      <c r="S14" s="61" t="s">
        <v>17</v>
      </c>
      <c r="T14" s="63" t="s">
        <v>18</v>
      </c>
      <c r="U14" s="51"/>
      <c r="V14" s="51"/>
      <c r="W14" s="51"/>
      <c r="X14" s="61" t="s">
        <v>19</v>
      </c>
    </row>
    <row r="15" spans="1:24" ht="13.5" thickBot="1">
      <c r="A15" s="49"/>
      <c r="B15" s="10" t="s">
        <v>20</v>
      </c>
      <c r="C15" s="11" t="s">
        <v>21</v>
      </c>
      <c r="D15" s="11" t="s">
        <v>22</v>
      </c>
      <c r="E15" s="12" t="s">
        <v>23</v>
      </c>
      <c r="F15" s="13" t="s">
        <v>20</v>
      </c>
      <c r="G15" s="14" t="s">
        <v>21</v>
      </c>
      <c r="H15" s="14" t="s">
        <v>22</v>
      </c>
      <c r="I15" s="12" t="s">
        <v>23</v>
      </c>
      <c r="J15" s="13" t="s">
        <v>20</v>
      </c>
      <c r="K15" s="11" t="s">
        <v>21</v>
      </c>
      <c r="L15" s="11" t="s">
        <v>22</v>
      </c>
      <c r="M15" s="11" t="s">
        <v>23</v>
      </c>
      <c r="N15" s="58"/>
      <c r="O15" s="11" t="s">
        <v>20</v>
      </c>
      <c r="P15" s="11" t="s">
        <v>21</v>
      </c>
      <c r="Q15" s="11" t="s">
        <v>22</v>
      </c>
      <c r="R15" s="11" t="s">
        <v>23</v>
      </c>
      <c r="S15" s="62"/>
      <c r="T15" s="10" t="s">
        <v>20</v>
      </c>
      <c r="U15" s="11" t="s">
        <v>21</v>
      </c>
      <c r="V15" s="11" t="s">
        <v>22</v>
      </c>
      <c r="W15" s="11" t="s">
        <v>23</v>
      </c>
      <c r="X15" s="62"/>
    </row>
    <row r="16" spans="1:24" s="17" customFormat="1" thickBot="1">
      <c r="A16" s="15" t="s">
        <v>24</v>
      </c>
      <c r="B16" s="64" t="s">
        <v>25</v>
      </c>
      <c r="C16" s="65"/>
      <c r="D16" s="65"/>
      <c r="E16" s="66"/>
      <c r="F16" s="67" t="s">
        <v>26</v>
      </c>
      <c r="G16" s="65"/>
      <c r="H16" s="65"/>
      <c r="I16" s="68"/>
      <c r="J16" s="64" t="s">
        <v>27</v>
      </c>
      <c r="K16" s="65"/>
      <c r="L16" s="65"/>
      <c r="M16" s="66"/>
      <c r="N16" s="16" t="s">
        <v>28</v>
      </c>
      <c r="O16" s="64" t="s">
        <v>29</v>
      </c>
      <c r="P16" s="65"/>
      <c r="Q16" s="65"/>
      <c r="R16" s="66"/>
      <c r="S16" s="16" t="s">
        <v>30</v>
      </c>
      <c r="T16" s="64" t="s">
        <v>31</v>
      </c>
      <c r="U16" s="65"/>
      <c r="V16" s="65"/>
      <c r="W16" s="66"/>
      <c r="X16" s="16" t="s">
        <v>32</v>
      </c>
    </row>
    <row r="17" spans="1:25" s="19" customFormat="1" ht="15" customHeight="1">
      <c r="A17" s="69" t="s">
        <v>33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</row>
    <row r="18" spans="1:25" s="19" customFormat="1" ht="11.25">
      <c r="A18" s="7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</row>
    <row r="19" spans="1:25" s="19" customFormat="1" ht="20.100000000000001" customHeight="1">
      <c r="A19" s="21" t="s">
        <v>34</v>
      </c>
      <c r="B19" s="20"/>
      <c r="C19" s="20"/>
      <c r="D19" s="20"/>
      <c r="E19" s="20">
        <f t="shared" ref="E19:E24" si="0">SUM(B19:D19)</f>
        <v>0</v>
      </c>
      <c r="F19" s="20"/>
      <c r="G19" s="20"/>
      <c r="H19" s="20"/>
      <c r="I19" s="20">
        <f t="shared" ref="I19:I24" si="1">SUM(F19:H19)</f>
        <v>0</v>
      </c>
      <c r="J19" s="20"/>
      <c r="K19" s="20"/>
      <c r="L19" s="20"/>
      <c r="M19" s="20">
        <f t="shared" ref="M19:M24" si="2">SUM(J19:L19)</f>
        <v>0</v>
      </c>
      <c r="N19" s="20">
        <f t="shared" ref="N19:N24" si="3">E19+I19+M19</f>
        <v>0</v>
      </c>
      <c r="O19" s="20"/>
      <c r="P19" s="20"/>
      <c r="Q19" s="20"/>
      <c r="R19" s="20">
        <f t="shared" ref="R19:R24" si="4">SUM(O19:Q19)</f>
        <v>0</v>
      </c>
      <c r="S19" s="20"/>
      <c r="T19" s="20">
        <f t="shared" ref="T19:V23" si="5">B19+F19+J19+O19</f>
        <v>0</v>
      </c>
      <c r="U19" s="20">
        <f t="shared" si="5"/>
        <v>0</v>
      </c>
      <c r="V19" s="20">
        <f t="shared" si="5"/>
        <v>0</v>
      </c>
      <c r="W19" s="20">
        <f t="shared" ref="W19:W24" si="6">SUM(T19:V19)</f>
        <v>0</v>
      </c>
      <c r="X19" s="20"/>
    </row>
    <row r="20" spans="1:25" s="19" customFormat="1" ht="20.100000000000001" customHeight="1">
      <c r="A20" s="21" t="s">
        <v>35</v>
      </c>
      <c r="B20" s="20">
        <f>25205151.34+20571294.48+50261920.65</f>
        <v>96038366.469999999</v>
      </c>
      <c r="C20" s="20">
        <f>100066689.7+58899996.82+83939486.14+4320887.7</f>
        <v>247227060.36000001</v>
      </c>
      <c r="D20" s="20"/>
      <c r="E20" s="20">
        <f t="shared" si="0"/>
        <v>343265426.83000004</v>
      </c>
      <c r="F20" s="20"/>
      <c r="G20" s="20"/>
      <c r="H20" s="20"/>
      <c r="I20" s="20">
        <f t="shared" si="1"/>
        <v>0</v>
      </c>
      <c r="J20" s="20"/>
      <c r="K20" s="20"/>
      <c r="L20" s="20"/>
      <c r="M20" s="20">
        <f t="shared" si="2"/>
        <v>0</v>
      </c>
      <c r="N20" s="20">
        <f t="shared" si="3"/>
        <v>343265426.83000004</v>
      </c>
      <c r="O20" s="20"/>
      <c r="P20" s="20"/>
      <c r="Q20" s="20"/>
      <c r="R20" s="20">
        <f t="shared" si="4"/>
        <v>0</v>
      </c>
      <c r="S20" s="20"/>
      <c r="T20" s="20">
        <f t="shared" si="5"/>
        <v>96038366.469999999</v>
      </c>
      <c r="U20" s="20">
        <f t="shared" si="5"/>
        <v>247227060.36000001</v>
      </c>
      <c r="V20" s="20">
        <f t="shared" si="5"/>
        <v>0</v>
      </c>
      <c r="W20" s="20">
        <f t="shared" si="6"/>
        <v>343265426.83000004</v>
      </c>
      <c r="X20" s="20"/>
    </row>
    <row r="21" spans="1:25" s="19" customFormat="1" ht="20.100000000000001" customHeight="1">
      <c r="A21" s="21" t="s">
        <v>36</v>
      </c>
      <c r="B21" s="20">
        <f>1149700+130235+343259+2218855+1270194+745267+341291+1034000</f>
        <v>7232801</v>
      </c>
      <c r="C21" s="20">
        <f>2315215+287723664-28700360.09</f>
        <v>261338518.91</v>
      </c>
      <c r="D21" s="20">
        <f>972642.85+7328885.72+912250.68+451301.12+200783.15+18503146.57+331250</f>
        <v>28700260.09</v>
      </c>
      <c r="E21" s="20">
        <f t="shared" si="0"/>
        <v>297271579.99999994</v>
      </c>
      <c r="F21" s="20"/>
      <c r="G21" s="20"/>
      <c r="H21" s="20"/>
      <c r="I21" s="20">
        <f t="shared" si="1"/>
        <v>0</v>
      </c>
      <c r="J21" s="20"/>
      <c r="K21" s="20"/>
      <c r="L21" s="20"/>
      <c r="M21" s="20">
        <f t="shared" si="2"/>
        <v>0</v>
      </c>
      <c r="N21" s="20">
        <f t="shared" si="3"/>
        <v>297271579.99999994</v>
      </c>
      <c r="O21" s="20"/>
      <c r="P21" s="20"/>
      <c r="Q21" s="20"/>
      <c r="R21" s="20">
        <f t="shared" si="4"/>
        <v>0</v>
      </c>
      <c r="S21" s="20"/>
      <c r="T21" s="20">
        <f t="shared" si="5"/>
        <v>7232801</v>
      </c>
      <c r="U21" s="20">
        <f t="shared" si="5"/>
        <v>261338518.91</v>
      </c>
      <c r="V21" s="20">
        <f t="shared" si="5"/>
        <v>28700260.09</v>
      </c>
      <c r="W21" s="20">
        <f t="shared" si="6"/>
        <v>297271579.99999994</v>
      </c>
      <c r="X21" s="20"/>
    </row>
    <row r="22" spans="1:25" s="19" customFormat="1" ht="20.100000000000001" customHeight="1">
      <c r="A22" s="21" t="s">
        <v>37</v>
      </c>
      <c r="B22" s="20">
        <f>1675737.66+3633790.93+5640190.36</f>
        <v>10949718.949999999</v>
      </c>
      <c r="C22" s="20">
        <f>563890.72+319509.8+4488107.99+16331219.2+1414053.32+5375556.05+3176119.53+1371267.44+33033.19+206725.23+3135118.92+7830.15-1655830.94</f>
        <v>34766600.600000009</v>
      </c>
      <c r="D22" s="20">
        <f>412714.28+41027.38+11892.85+1171446.43+18750</f>
        <v>1655830.94</v>
      </c>
      <c r="E22" s="20">
        <f t="shared" si="0"/>
        <v>47372150.49000001</v>
      </c>
      <c r="F22" s="20"/>
      <c r="G22" s="20">
        <f>156069.21+63702.12+309681.31</f>
        <v>529452.64</v>
      </c>
      <c r="H22" s="20"/>
      <c r="I22" s="20">
        <f t="shared" si="1"/>
        <v>529452.64</v>
      </c>
      <c r="J22" s="20"/>
      <c r="K22" s="20">
        <f>280921.35</f>
        <v>280921.34999999998</v>
      </c>
      <c r="L22" s="20"/>
      <c r="M22" s="20">
        <f t="shared" si="2"/>
        <v>280921.34999999998</v>
      </c>
      <c r="N22" s="20">
        <f t="shared" si="3"/>
        <v>48182524.480000012</v>
      </c>
      <c r="O22" s="20"/>
      <c r="P22" s="20"/>
      <c r="Q22" s="20"/>
      <c r="R22" s="20">
        <f t="shared" si="4"/>
        <v>0</v>
      </c>
      <c r="S22" s="20"/>
      <c r="T22" s="20">
        <f t="shared" si="5"/>
        <v>10949718.949999999</v>
      </c>
      <c r="U22" s="20">
        <f t="shared" si="5"/>
        <v>35576974.590000011</v>
      </c>
      <c r="V22" s="20">
        <f t="shared" si="5"/>
        <v>1655830.94</v>
      </c>
      <c r="W22" s="20">
        <f t="shared" si="6"/>
        <v>48182524.480000004</v>
      </c>
      <c r="X22" s="20"/>
    </row>
    <row r="23" spans="1:25" s="19" customFormat="1" ht="20.100000000000001" customHeight="1">
      <c r="A23" s="21" t="s">
        <v>38</v>
      </c>
      <c r="B23" s="20"/>
      <c r="C23" s="20"/>
      <c r="D23" s="20"/>
      <c r="E23" s="20">
        <f t="shared" si="0"/>
        <v>0</v>
      </c>
      <c r="F23" s="20"/>
      <c r="G23" s="20"/>
      <c r="H23" s="20"/>
      <c r="I23" s="20">
        <f t="shared" si="1"/>
        <v>0</v>
      </c>
      <c r="J23" s="20"/>
      <c r="K23" s="20"/>
      <c r="L23" s="20"/>
      <c r="M23" s="20">
        <f t="shared" si="2"/>
        <v>0</v>
      </c>
      <c r="N23" s="20">
        <f t="shared" si="3"/>
        <v>0</v>
      </c>
      <c r="O23" s="20"/>
      <c r="P23" s="20"/>
      <c r="Q23" s="20"/>
      <c r="R23" s="20">
        <f t="shared" si="4"/>
        <v>0</v>
      </c>
      <c r="S23" s="20"/>
      <c r="T23" s="20">
        <f t="shared" si="5"/>
        <v>0</v>
      </c>
      <c r="U23" s="20">
        <f t="shared" si="5"/>
        <v>0</v>
      </c>
      <c r="V23" s="20">
        <f t="shared" si="5"/>
        <v>0</v>
      </c>
      <c r="W23" s="20">
        <f t="shared" si="6"/>
        <v>0</v>
      </c>
      <c r="X23" s="20"/>
    </row>
    <row r="24" spans="1:25" s="19" customFormat="1" ht="20.100000000000001" customHeight="1">
      <c r="A24" s="21" t="s">
        <v>39</v>
      </c>
      <c r="B24" s="20"/>
      <c r="C24" s="20"/>
      <c r="D24" s="20"/>
      <c r="E24" s="20">
        <f t="shared" si="0"/>
        <v>0</v>
      </c>
      <c r="F24" s="20"/>
      <c r="G24" s="20"/>
      <c r="H24" s="20"/>
      <c r="I24" s="20">
        <f t="shared" si="1"/>
        <v>0</v>
      </c>
      <c r="J24" s="20"/>
      <c r="K24" s="20"/>
      <c r="L24" s="20"/>
      <c r="M24" s="20">
        <f t="shared" si="2"/>
        <v>0</v>
      </c>
      <c r="N24" s="20">
        <f t="shared" si="3"/>
        <v>0</v>
      </c>
      <c r="O24" s="20"/>
      <c r="P24" s="20"/>
      <c r="Q24" s="20"/>
      <c r="R24" s="20">
        <f t="shared" si="4"/>
        <v>0</v>
      </c>
      <c r="S24" s="20"/>
      <c r="T24" s="20">
        <f>B24+F24+J24+O24</f>
        <v>0</v>
      </c>
      <c r="U24" s="20"/>
      <c r="V24" s="20"/>
      <c r="W24" s="20">
        <f t="shared" si="6"/>
        <v>0</v>
      </c>
      <c r="X24" s="20"/>
    </row>
    <row r="25" spans="1:25" s="25" customFormat="1" ht="21" customHeight="1" thickBot="1">
      <c r="A25" s="22" t="s">
        <v>40</v>
      </c>
      <c r="B25" s="23">
        <f>SUM(B17:B24)</f>
        <v>114220886.42</v>
      </c>
      <c r="C25" s="23">
        <f t="shared" ref="C25:W25" si="7">SUM(C17:C24)</f>
        <v>543332179.87</v>
      </c>
      <c r="D25" s="23">
        <f t="shared" si="7"/>
        <v>30356091.030000001</v>
      </c>
      <c r="E25" s="23">
        <f t="shared" si="7"/>
        <v>687909157.31999993</v>
      </c>
      <c r="F25" s="23">
        <f t="shared" si="7"/>
        <v>0</v>
      </c>
      <c r="G25" s="23">
        <f t="shared" si="7"/>
        <v>529452.64</v>
      </c>
      <c r="H25" s="23">
        <f t="shared" si="7"/>
        <v>0</v>
      </c>
      <c r="I25" s="23">
        <f t="shared" si="7"/>
        <v>529452.64</v>
      </c>
      <c r="J25" s="23">
        <f t="shared" si="7"/>
        <v>0</v>
      </c>
      <c r="K25" s="23">
        <f t="shared" si="7"/>
        <v>280921.34999999998</v>
      </c>
      <c r="L25" s="23">
        <f t="shared" si="7"/>
        <v>0</v>
      </c>
      <c r="M25" s="23">
        <f t="shared" si="7"/>
        <v>280921.34999999998</v>
      </c>
      <c r="N25" s="23">
        <f t="shared" si="7"/>
        <v>688719531.30999994</v>
      </c>
      <c r="O25" s="23">
        <f t="shared" si="7"/>
        <v>0</v>
      </c>
      <c r="P25" s="23">
        <f t="shared" si="7"/>
        <v>0</v>
      </c>
      <c r="Q25" s="23">
        <f t="shared" si="7"/>
        <v>0</v>
      </c>
      <c r="R25" s="23">
        <f t="shared" si="7"/>
        <v>0</v>
      </c>
      <c r="S25" s="23">
        <f t="shared" si="7"/>
        <v>0</v>
      </c>
      <c r="T25" s="23">
        <f t="shared" si="7"/>
        <v>114220886.42</v>
      </c>
      <c r="U25" s="23">
        <f t="shared" si="7"/>
        <v>544142553.86000001</v>
      </c>
      <c r="V25" s="23">
        <f t="shared" si="7"/>
        <v>30356091.030000001</v>
      </c>
      <c r="W25" s="23">
        <f t="shared" si="7"/>
        <v>688719531.30999994</v>
      </c>
      <c r="X25" s="24"/>
    </row>
    <row r="26" spans="1:25" s="19" customFormat="1" ht="15" customHeight="1">
      <c r="A26" s="69" t="s">
        <v>41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</row>
    <row r="27" spans="1:25" s="19" customFormat="1" ht="11.25">
      <c r="A27" s="7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</row>
    <row r="28" spans="1:25" s="19" customFormat="1" ht="20.100000000000001" customHeight="1">
      <c r="A28" s="21" t="s">
        <v>42</v>
      </c>
      <c r="B28" s="20"/>
      <c r="C28" s="20"/>
      <c r="D28" s="20"/>
      <c r="E28" s="20">
        <f t="shared" ref="E28:E33" si="8">SUM(B28:D28)</f>
        <v>0</v>
      </c>
      <c r="F28" s="20"/>
      <c r="G28" s="20"/>
      <c r="H28" s="20"/>
      <c r="I28" s="20">
        <f t="shared" ref="I28:I33" si="9">SUM(F28:H28)</f>
        <v>0</v>
      </c>
      <c r="J28" s="20"/>
      <c r="K28" s="20"/>
      <c r="L28" s="20"/>
      <c r="M28" s="20">
        <f t="shared" ref="M28:M33" si="10">SUM(J28:L28)</f>
        <v>0</v>
      </c>
      <c r="N28" s="20">
        <f t="shared" ref="N28:N33" si="11">E28+I28+M28</f>
        <v>0</v>
      </c>
      <c r="O28" s="20"/>
      <c r="P28" s="20"/>
      <c r="Q28" s="20"/>
      <c r="R28" s="20">
        <f t="shared" ref="R28:R33" si="12">SUM(O28:Q28)</f>
        <v>0</v>
      </c>
      <c r="S28" s="20"/>
      <c r="T28" s="20">
        <f t="shared" ref="T28:V32" si="13">B28+F28+J28+O28</f>
        <v>0</v>
      </c>
      <c r="U28" s="20">
        <f t="shared" si="13"/>
        <v>0</v>
      </c>
      <c r="V28" s="20">
        <f t="shared" si="13"/>
        <v>0</v>
      </c>
      <c r="W28" s="20">
        <f t="shared" ref="W28:W33" si="14">SUM(T28:V28)</f>
        <v>0</v>
      </c>
      <c r="X28" s="20"/>
    </row>
    <row r="29" spans="1:25" s="19" customFormat="1" ht="20.100000000000001" customHeight="1">
      <c r="A29" s="21" t="s">
        <v>43</v>
      </c>
      <c r="B29" s="20">
        <f>19266830.5+29959545.06+25269411.21</f>
        <v>74495786.770000011</v>
      </c>
      <c r="C29" s="20">
        <f>153734398.37+450610416.96+276134514.55+3341417.48+11269610.34+49512831.8</f>
        <v>944603189.49999988</v>
      </c>
      <c r="D29" s="20">
        <f>18193787.58+1928380.97</f>
        <v>20122168.549999997</v>
      </c>
      <c r="E29" s="20">
        <f t="shared" si="8"/>
        <v>1039221144.8199998</v>
      </c>
      <c r="F29" s="20"/>
      <c r="G29" s="20"/>
      <c r="H29" s="20"/>
      <c r="I29" s="20">
        <f t="shared" si="9"/>
        <v>0</v>
      </c>
      <c r="J29" s="20"/>
      <c r="K29" s="20"/>
      <c r="L29" s="20"/>
      <c r="M29" s="20">
        <f t="shared" si="10"/>
        <v>0</v>
      </c>
      <c r="N29" s="20">
        <f t="shared" si="11"/>
        <v>1039221144.8199998</v>
      </c>
      <c r="O29" s="20"/>
      <c r="P29" s="20"/>
      <c r="Q29" s="20"/>
      <c r="R29" s="20">
        <f t="shared" si="12"/>
        <v>0</v>
      </c>
      <c r="S29" s="20"/>
      <c r="T29" s="20">
        <f t="shared" si="13"/>
        <v>74495786.770000011</v>
      </c>
      <c r="U29" s="20">
        <f t="shared" si="13"/>
        <v>944603189.49999988</v>
      </c>
      <c r="V29" s="20">
        <f t="shared" si="13"/>
        <v>20122168.549999997</v>
      </c>
      <c r="W29" s="20">
        <f t="shared" si="14"/>
        <v>1039221144.8199998</v>
      </c>
      <c r="X29" s="20"/>
    </row>
    <row r="30" spans="1:25" s="19" customFormat="1" ht="20.100000000000001" customHeight="1">
      <c r="A30" s="21" t="s">
        <v>44</v>
      </c>
      <c r="B30" s="20">
        <f>794994+117483+117303+1891433+868173+40526+247401+419551+399889</f>
        <v>4896753</v>
      </c>
      <c r="C30" s="20">
        <f>265326745+35621963+318569708+1519801+47076383+8344306+25794614-167435338.79</f>
        <v>534818181.21000004</v>
      </c>
      <c r="D30" s="20">
        <f>1822358.49+1176166.09+421638.24+1247662.8+96319928.57+10847246.75+32722826.32+762972.04+354656.11+737128+10411.07+150579.65+18204143.75+2657620.91</f>
        <v>167435338.78999999</v>
      </c>
      <c r="E30" s="20">
        <f t="shared" si="8"/>
        <v>707150273</v>
      </c>
      <c r="F30" s="20"/>
      <c r="G30" s="20"/>
      <c r="H30" s="20"/>
      <c r="I30" s="20">
        <f t="shared" si="9"/>
        <v>0</v>
      </c>
      <c r="J30" s="20"/>
      <c r="K30" s="20"/>
      <c r="L30" s="20"/>
      <c r="M30" s="20">
        <f t="shared" si="10"/>
        <v>0</v>
      </c>
      <c r="N30" s="20">
        <f t="shared" si="11"/>
        <v>707150273</v>
      </c>
      <c r="O30" s="20"/>
      <c r="P30" s="20"/>
      <c r="Q30" s="20"/>
      <c r="R30" s="20">
        <f t="shared" si="12"/>
        <v>0</v>
      </c>
      <c r="S30" s="20"/>
      <c r="T30" s="20">
        <f t="shared" si="13"/>
        <v>4896753</v>
      </c>
      <c r="U30" s="20">
        <f t="shared" si="13"/>
        <v>534818181.21000004</v>
      </c>
      <c r="V30" s="20">
        <f t="shared" si="13"/>
        <v>167435338.78999999</v>
      </c>
      <c r="W30" s="20">
        <f t="shared" si="14"/>
        <v>707150273</v>
      </c>
      <c r="X30" s="20"/>
    </row>
    <row r="31" spans="1:25" s="19" customFormat="1" ht="20.100000000000001" customHeight="1">
      <c r="A31" s="21" t="s">
        <v>37</v>
      </c>
      <c r="B31" s="20">
        <f>5732017.87+27996.25+5743813.7+25485.68+5709624.89+18573.49</f>
        <v>17257511.879999999</v>
      </c>
      <c r="C31" s="20">
        <f>2952503.34+3020798.51+2885487.71+17141795.03+4609376.74+33262850.36+7727142.83+7140999.63+2529967.17-13503673.64-2919627.24-3173425.98-7227020.79</f>
        <v>54447173.669999994</v>
      </c>
      <c r="D31" s="20">
        <f>731.26+8100+26685.96+108428.57+1321816.54+3356.26+12672.16+6342.85+750362.95+78966+115475.57+5452071.43+1008.85+86721.43+47678.57+22446.59+594458.08+235392.85+717428.57+255265.72+44910+170338.93+337819.02+84369.65+59528.35+429436.12+275723.04+107142.85+159267.85+160500+37761.91+1445464.28+177797.57+168203.86</f>
        <v>13503673.639999995</v>
      </c>
      <c r="E31" s="20">
        <f t="shared" si="8"/>
        <v>85208359.189999998</v>
      </c>
      <c r="F31" s="20"/>
      <c r="G31" s="20">
        <f>1366.61+2080+58.95+147.38+8700+160.18+19734.23+144.38+16450.89+14784+4928+22.54+112.7+3005.36+7513.39+54.07+135.18+6467.5+5544.76+484.27+467.85+1835.97+110.5+467.85+43582.56+5138.95+10012.5+19056.38+1371.63+1785.01+4685.63+2562.1+13168.8+130714.28+22330.82+5410.72+2930.89+1710.13+526.08+1821.09+79.62+240.72+43648.28+7763.28+5595.11+8437.5+26784.76+120431.68+15149.97+614.02+812.22+23175+5558.32+24920.43+16786.48+29.09+9530.35+1230+48847.12+315482.15+33837.05+50625+5042.41+237.43+2892.85+45257.15+31971.13+12279.58+12593+372396.43+1277.1+6825+1560+3365+6337.53+19748.17+96926.57+68965.98+39375+4014.92+10744.24+333.12+3661.3+21621.39+616.42+1030423.24</f>
        <v>2919627.2399999998</v>
      </c>
      <c r="H31" s="20">
        <f>2089165.18+43648.28+658.93+9530.35+1030423.24</f>
        <v>3173425.9800000004</v>
      </c>
      <c r="I31" s="20">
        <f t="shared" si="9"/>
        <v>6093053.2200000007</v>
      </c>
      <c r="J31" s="20"/>
      <c r="K31" s="20"/>
      <c r="L31" s="20">
        <f>115475.57+3058.39+15291.96+26685.96+78966+5452071.43+750362.95+22446.59+594458.08+168203.86</f>
        <v>7227020.79</v>
      </c>
      <c r="M31" s="20">
        <f t="shared" si="10"/>
        <v>7227020.79</v>
      </c>
      <c r="N31" s="20">
        <f t="shared" si="11"/>
        <v>98528433.200000003</v>
      </c>
      <c r="O31" s="20"/>
      <c r="P31" s="20"/>
      <c r="Q31" s="20"/>
      <c r="R31" s="20">
        <f t="shared" si="12"/>
        <v>0</v>
      </c>
      <c r="S31" s="20"/>
      <c r="T31" s="20">
        <f t="shared" si="13"/>
        <v>17257511.879999999</v>
      </c>
      <c r="U31" s="20">
        <f t="shared" si="13"/>
        <v>57366800.909999996</v>
      </c>
      <c r="V31" s="20">
        <f t="shared" si="13"/>
        <v>23904120.409999996</v>
      </c>
      <c r="W31" s="20">
        <f t="shared" si="14"/>
        <v>98528433.199999988</v>
      </c>
      <c r="X31" s="20"/>
      <c r="Y31" s="44"/>
    </row>
    <row r="32" spans="1:25" s="19" customFormat="1" ht="20.100000000000001" customHeight="1">
      <c r="A32" s="21" t="s">
        <v>38</v>
      </c>
      <c r="B32" s="20"/>
      <c r="C32" s="20"/>
      <c r="D32" s="20"/>
      <c r="E32" s="20">
        <f t="shared" si="8"/>
        <v>0</v>
      </c>
      <c r="F32" s="20"/>
      <c r="G32" s="20"/>
      <c r="H32" s="20"/>
      <c r="I32" s="20">
        <f t="shared" si="9"/>
        <v>0</v>
      </c>
      <c r="J32" s="20"/>
      <c r="K32" s="20"/>
      <c r="L32" s="20"/>
      <c r="M32" s="20">
        <f t="shared" si="10"/>
        <v>0</v>
      </c>
      <c r="N32" s="20">
        <f t="shared" si="11"/>
        <v>0</v>
      </c>
      <c r="O32" s="20"/>
      <c r="P32" s="20"/>
      <c r="Q32" s="20"/>
      <c r="R32" s="20">
        <f t="shared" si="12"/>
        <v>0</v>
      </c>
      <c r="S32" s="20"/>
      <c r="T32" s="20">
        <f t="shared" si="13"/>
        <v>0</v>
      </c>
      <c r="U32" s="20">
        <f t="shared" si="13"/>
        <v>0</v>
      </c>
      <c r="V32" s="20">
        <f t="shared" si="13"/>
        <v>0</v>
      </c>
      <c r="W32" s="20">
        <f t="shared" si="14"/>
        <v>0</v>
      </c>
      <c r="X32" s="20"/>
    </row>
    <row r="33" spans="1:24" s="19" customFormat="1" ht="20.100000000000001" customHeight="1">
      <c r="A33" s="21" t="s">
        <v>39</v>
      </c>
      <c r="B33" s="20"/>
      <c r="C33" s="20"/>
      <c r="D33" s="20"/>
      <c r="E33" s="20">
        <f t="shared" si="8"/>
        <v>0</v>
      </c>
      <c r="F33" s="20"/>
      <c r="G33" s="20"/>
      <c r="H33" s="20"/>
      <c r="I33" s="20">
        <f t="shared" si="9"/>
        <v>0</v>
      </c>
      <c r="J33" s="20"/>
      <c r="K33" s="20"/>
      <c r="L33" s="20"/>
      <c r="M33" s="20">
        <f t="shared" si="10"/>
        <v>0</v>
      </c>
      <c r="N33" s="20">
        <f t="shared" si="11"/>
        <v>0</v>
      </c>
      <c r="O33" s="20"/>
      <c r="P33" s="20"/>
      <c r="Q33" s="20"/>
      <c r="R33" s="20">
        <f t="shared" si="12"/>
        <v>0</v>
      </c>
      <c r="S33" s="20"/>
      <c r="T33" s="20">
        <f>B33+F33+J33+O33</f>
        <v>0</v>
      </c>
      <c r="U33" s="20"/>
      <c r="V33" s="20"/>
      <c r="W33" s="20">
        <f t="shared" si="14"/>
        <v>0</v>
      </c>
      <c r="X33" s="20"/>
    </row>
    <row r="34" spans="1:24" s="27" customFormat="1" ht="21" customHeight="1" thickBot="1">
      <c r="A34" s="22" t="s">
        <v>40</v>
      </c>
      <c r="B34" s="26">
        <f>SUM(B26:B33)</f>
        <v>96650051.650000006</v>
      </c>
      <c r="C34" s="26">
        <f t="shared" ref="C34:W34" si="15">SUM(C26:C33)</f>
        <v>1533868544.3800001</v>
      </c>
      <c r="D34" s="26">
        <f t="shared" si="15"/>
        <v>201061180.97999996</v>
      </c>
      <c r="E34" s="26">
        <f t="shared" si="15"/>
        <v>1831579777.0099998</v>
      </c>
      <c r="F34" s="26">
        <f t="shared" si="15"/>
        <v>0</v>
      </c>
      <c r="G34" s="26">
        <f t="shared" si="15"/>
        <v>2919627.2399999998</v>
      </c>
      <c r="H34" s="26">
        <f t="shared" si="15"/>
        <v>3173425.9800000004</v>
      </c>
      <c r="I34" s="26">
        <f t="shared" si="15"/>
        <v>6093053.2200000007</v>
      </c>
      <c r="J34" s="26">
        <f t="shared" si="15"/>
        <v>0</v>
      </c>
      <c r="K34" s="26">
        <f t="shared" si="15"/>
        <v>0</v>
      </c>
      <c r="L34" s="26">
        <f t="shared" si="15"/>
        <v>7227020.79</v>
      </c>
      <c r="M34" s="26">
        <f t="shared" si="15"/>
        <v>7227020.79</v>
      </c>
      <c r="N34" s="26">
        <f t="shared" si="15"/>
        <v>1844899851.0199997</v>
      </c>
      <c r="O34" s="26">
        <f t="shared" si="15"/>
        <v>0</v>
      </c>
      <c r="P34" s="26">
        <f t="shared" si="15"/>
        <v>0</v>
      </c>
      <c r="Q34" s="26">
        <f t="shared" si="15"/>
        <v>0</v>
      </c>
      <c r="R34" s="26">
        <f t="shared" si="15"/>
        <v>0</v>
      </c>
      <c r="S34" s="26">
        <f t="shared" si="15"/>
        <v>0</v>
      </c>
      <c r="T34" s="26">
        <f t="shared" si="15"/>
        <v>96650051.650000006</v>
      </c>
      <c r="U34" s="26">
        <f t="shared" si="15"/>
        <v>1536788171.6200001</v>
      </c>
      <c r="V34" s="26">
        <f t="shared" si="15"/>
        <v>211461627.74999997</v>
      </c>
      <c r="W34" s="26">
        <f t="shared" si="15"/>
        <v>1844899851.0199997</v>
      </c>
      <c r="X34" s="26"/>
    </row>
    <row r="35" spans="1:24" s="29" customFormat="1" ht="15" customHeight="1">
      <c r="A35" s="71" t="s">
        <v>45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</row>
    <row r="36" spans="1:24" s="29" customFormat="1">
      <c r="A36" s="72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</row>
    <row r="37" spans="1:24" s="29" customFormat="1" ht="20.100000000000001" customHeight="1">
      <c r="A37" s="21" t="s">
        <v>42</v>
      </c>
      <c r="B37" s="30"/>
      <c r="C37" s="30"/>
      <c r="D37" s="30"/>
      <c r="E37" s="30">
        <f t="shared" ref="E37:E42" si="16">SUM(B37:D37)</f>
        <v>0</v>
      </c>
      <c r="F37" s="30"/>
      <c r="G37" s="30"/>
      <c r="H37" s="30"/>
      <c r="I37" s="30">
        <f t="shared" ref="I37:I42" si="17">SUM(F37:H37)</f>
        <v>0</v>
      </c>
      <c r="J37" s="30"/>
      <c r="K37" s="30"/>
      <c r="L37" s="30"/>
      <c r="M37" s="30">
        <f t="shared" ref="M37:M42" si="18">SUM(J37:L37)</f>
        <v>0</v>
      </c>
      <c r="N37" s="30">
        <f t="shared" ref="N37:N42" si="19">E37+I37+M37</f>
        <v>0</v>
      </c>
      <c r="O37" s="30"/>
      <c r="P37" s="30"/>
      <c r="Q37" s="30"/>
      <c r="R37" s="30">
        <f t="shared" ref="R37:R42" si="20">SUM(O37:Q37)</f>
        <v>0</v>
      </c>
      <c r="S37" s="30"/>
      <c r="T37" s="30">
        <f t="shared" ref="T37:V41" si="21">B37+F37+J37+O37</f>
        <v>0</v>
      </c>
      <c r="U37" s="30">
        <f t="shared" si="21"/>
        <v>0</v>
      </c>
      <c r="V37" s="30">
        <f t="shared" si="21"/>
        <v>0</v>
      </c>
      <c r="W37" s="30">
        <f t="shared" ref="W37:W42" si="22">SUM(T37:V37)</f>
        <v>0</v>
      </c>
      <c r="X37" s="30"/>
    </row>
    <row r="38" spans="1:24" s="29" customFormat="1" ht="20.100000000000001" customHeight="1">
      <c r="A38" s="21" t="s">
        <v>43</v>
      </c>
      <c r="B38" s="30">
        <f>15829424.62+8104768.32+19724538.21</f>
        <v>43658731.149999999</v>
      </c>
      <c r="C38" s="30">
        <f>488147380.64+2960158.39+725307110.99+16510937.81+414889036.37+14371228.6</f>
        <v>1662185852.7999997</v>
      </c>
      <c r="D38" s="30">
        <f>567996+978423.59+2647786.63+3504214.28+6185438.45+599604.21</f>
        <v>14483463.16</v>
      </c>
      <c r="E38" s="30">
        <f t="shared" si="16"/>
        <v>1720328047.1099999</v>
      </c>
      <c r="F38" s="30"/>
      <c r="G38" s="30"/>
      <c r="H38" s="30"/>
      <c r="I38" s="30">
        <f t="shared" si="17"/>
        <v>0</v>
      </c>
      <c r="J38" s="30"/>
      <c r="K38" s="30"/>
      <c r="L38" s="30"/>
      <c r="M38" s="30">
        <f t="shared" si="18"/>
        <v>0</v>
      </c>
      <c r="N38" s="30">
        <f t="shared" si="19"/>
        <v>1720328047.1099999</v>
      </c>
      <c r="O38" s="30"/>
      <c r="P38" s="30"/>
      <c r="Q38" s="30"/>
      <c r="R38" s="30">
        <f t="shared" si="20"/>
        <v>0</v>
      </c>
      <c r="S38" s="30"/>
      <c r="T38" s="30">
        <f t="shared" si="21"/>
        <v>43658731.149999999</v>
      </c>
      <c r="U38" s="30">
        <f t="shared" si="21"/>
        <v>1662185852.7999997</v>
      </c>
      <c r="V38" s="30">
        <f t="shared" si="21"/>
        <v>14483463.16</v>
      </c>
      <c r="W38" s="30">
        <f t="shared" si="22"/>
        <v>1720328047.1099999</v>
      </c>
      <c r="X38" s="30"/>
    </row>
    <row r="39" spans="1:24" s="29" customFormat="1" ht="20.100000000000001" customHeight="1">
      <c r="A39" s="21" t="s">
        <v>44</v>
      </c>
      <c r="B39" s="30">
        <f>376981+235515+45921+151017+200188</f>
        <v>1009622</v>
      </c>
      <c r="C39" s="30">
        <v>2201616</v>
      </c>
      <c r="D39" s="30">
        <v>321870.38</v>
      </c>
      <c r="E39" s="30">
        <f t="shared" si="16"/>
        <v>3533108.38</v>
      </c>
      <c r="F39" s="30"/>
      <c r="G39" s="30"/>
      <c r="H39" s="30"/>
      <c r="I39" s="30">
        <f t="shared" si="17"/>
        <v>0</v>
      </c>
      <c r="J39" s="30"/>
      <c r="K39" s="30"/>
      <c r="L39" s="30"/>
      <c r="M39" s="30">
        <f t="shared" si="18"/>
        <v>0</v>
      </c>
      <c r="N39" s="30">
        <f t="shared" si="19"/>
        <v>3533108.38</v>
      </c>
      <c r="O39" s="30"/>
      <c r="P39" s="30"/>
      <c r="Q39" s="30"/>
      <c r="R39" s="30">
        <f t="shared" si="20"/>
        <v>0</v>
      </c>
      <c r="S39" s="30"/>
      <c r="T39" s="30">
        <f t="shared" si="21"/>
        <v>1009622</v>
      </c>
      <c r="U39" s="30">
        <f t="shared" si="21"/>
        <v>2201616</v>
      </c>
      <c r="V39" s="30">
        <f t="shared" si="21"/>
        <v>321870.38</v>
      </c>
      <c r="W39" s="30">
        <f t="shared" si="22"/>
        <v>3533108.38</v>
      </c>
      <c r="X39" s="30"/>
    </row>
    <row r="40" spans="1:24" s="29" customFormat="1" ht="20.100000000000001" customHeight="1">
      <c r="A40" s="21" t="s">
        <v>46</v>
      </c>
      <c r="B40" s="30">
        <f>6409280.67+6342293.21+6579871.04</f>
        <v>19331444.919999998</v>
      </c>
      <c r="C40" s="30">
        <f>2640510.36+5553605.9+2878783.35+35686934.5+2937586.91+21517634.05</f>
        <v>71215055.069999993</v>
      </c>
      <c r="D40" s="30">
        <f>731.26+8100+26685.96+108428.57+1321816.54+3356.26+12672.16+6342.85+750362.95+78966+115475.57+5452071.43+1008.85+86721.43+47678.57+22446.59+594458.08+235392.85+717428.57+255265.72+44910+170338.93+337819.02+84369.65+59528.35+429436.12+275723.04+107142.85+159267.85+160500+37761.91+1445464.28+177797.57+168203.86</f>
        <v>13503673.639999995</v>
      </c>
      <c r="E40" s="30">
        <f t="shared" si="16"/>
        <v>104050173.63</v>
      </c>
      <c r="F40" s="30"/>
      <c r="G40" s="30">
        <f>35855.78+16608399.84+1896649.76</f>
        <v>18540905.379999999</v>
      </c>
      <c r="H40" s="30"/>
      <c r="I40" s="30">
        <f t="shared" si="17"/>
        <v>18540905.379999999</v>
      </c>
      <c r="J40" s="30"/>
      <c r="K40" s="30"/>
      <c r="L40" s="30">
        <f>113641.08+2814221.89+2442457.71</f>
        <v>5370320.6799999997</v>
      </c>
      <c r="M40" s="30">
        <f t="shared" si="18"/>
        <v>5370320.6799999997</v>
      </c>
      <c r="N40" s="30">
        <f t="shared" si="19"/>
        <v>127961399.69</v>
      </c>
      <c r="O40" s="30"/>
      <c r="P40" s="30"/>
      <c r="Q40" s="30"/>
      <c r="R40" s="30">
        <f t="shared" si="20"/>
        <v>0</v>
      </c>
      <c r="S40" s="30"/>
      <c r="T40" s="30">
        <f t="shared" si="21"/>
        <v>19331444.919999998</v>
      </c>
      <c r="U40" s="30">
        <f t="shared" si="21"/>
        <v>89755960.449999988</v>
      </c>
      <c r="V40" s="30">
        <f t="shared" si="21"/>
        <v>18873994.319999993</v>
      </c>
      <c r="W40" s="30">
        <f t="shared" si="22"/>
        <v>127961399.68999998</v>
      </c>
      <c r="X40" s="30"/>
    </row>
    <row r="41" spans="1:24" s="29" customFormat="1" ht="20.100000000000001" customHeight="1">
      <c r="A41" s="21" t="s">
        <v>38</v>
      </c>
      <c r="B41" s="30"/>
      <c r="C41" s="30"/>
      <c r="D41" s="30"/>
      <c r="E41" s="30">
        <f t="shared" si="16"/>
        <v>0</v>
      </c>
      <c r="F41" s="30"/>
      <c r="G41" s="30"/>
      <c r="H41" s="30"/>
      <c r="I41" s="30">
        <f t="shared" si="17"/>
        <v>0</v>
      </c>
      <c r="J41" s="30"/>
      <c r="K41" s="30"/>
      <c r="L41" s="30"/>
      <c r="M41" s="30">
        <f t="shared" si="18"/>
        <v>0</v>
      </c>
      <c r="N41" s="30">
        <f t="shared" si="19"/>
        <v>0</v>
      </c>
      <c r="O41" s="30"/>
      <c r="P41" s="30"/>
      <c r="Q41" s="30"/>
      <c r="R41" s="30">
        <f t="shared" si="20"/>
        <v>0</v>
      </c>
      <c r="S41" s="30"/>
      <c r="T41" s="30">
        <f t="shared" si="21"/>
        <v>0</v>
      </c>
      <c r="U41" s="30">
        <f t="shared" si="21"/>
        <v>0</v>
      </c>
      <c r="V41" s="30">
        <f t="shared" si="21"/>
        <v>0</v>
      </c>
      <c r="W41" s="30">
        <f t="shared" si="22"/>
        <v>0</v>
      </c>
      <c r="X41" s="30"/>
    </row>
    <row r="42" spans="1:24" s="29" customFormat="1" ht="20.100000000000001" customHeight="1">
      <c r="A42" s="21" t="s">
        <v>47</v>
      </c>
      <c r="B42" s="30"/>
      <c r="C42" s="30"/>
      <c r="D42" s="30"/>
      <c r="E42" s="30">
        <f t="shared" si="16"/>
        <v>0</v>
      </c>
      <c r="F42" s="30"/>
      <c r="G42" s="30"/>
      <c r="H42" s="30"/>
      <c r="I42" s="30">
        <f t="shared" si="17"/>
        <v>0</v>
      </c>
      <c r="J42" s="30"/>
      <c r="K42" s="30"/>
      <c r="L42" s="30"/>
      <c r="M42" s="30">
        <f t="shared" si="18"/>
        <v>0</v>
      </c>
      <c r="N42" s="30">
        <f t="shared" si="19"/>
        <v>0</v>
      </c>
      <c r="O42" s="30"/>
      <c r="P42" s="30"/>
      <c r="Q42" s="30"/>
      <c r="R42" s="30">
        <f t="shared" si="20"/>
        <v>0</v>
      </c>
      <c r="S42" s="30"/>
      <c r="T42" s="30">
        <f>B42+F42+J42+O42</f>
        <v>0</v>
      </c>
      <c r="U42" s="30"/>
      <c r="V42" s="30"/>
      <c r="W42" s="30">
        <f t="shared" si="22"/>
        <v>0</v>
      </c>
      <c r="X42" s="30"/>
    </row>
    <row r="43" spans="1:24" s="29" customFormat="1" ht="21" customHeight="1" thickBot="1">
      <c r="A43" s="31" t="s">
        <v>40</v>
      </c>
      <c r="B43" s="32">
        <f>SUM(B35:B42)</f>
        <v>63999798.069999993</v>
      </c>
      <c r="C43" s="32">
        <f t="shared" ref="C43:W43" si="23">SUM(C35:C42)</f>
        <v>1735602523.8699996</v>
      </c>
      <c r="D43" s="32">
        <f t="shared" si="23"/>
        <v>28309007.179999996</v>
      </c>
      <c r="E43" s="32">
        <f t="shared" si="23"/>
        <v>1827911329.1199999</v>
      </c>
      <c r="F43" s="32">
        <f t="shared" si="23"/>
        <v>0</v>
      </c>
      <c r="G43" s="32">
        <f t="shared" si="23"/>
        <v>18540905.379999999</v>
      </c>
      <c r="H43" s="32">
        <f t="shared" si="23"/>
        <v>0</v>
      </c>
      <c r="I43" s="32">
        <f t="shared" si="23"/>
        <v>18540905.379999999</v>
      </c>
      <c r="J43" s="32">
        <f t="shared" si="23"/>
        <v>0</v>
      </c>
      <c r="K43" s="32">
        <f t="shared" si="23"/>
        <v>0</v>
      </c>
      <c r="L43" s="32">
        <f t="shared" si="23"/>
        <v>5370320.6799999997</v>
      </c>
      <c r="M43" s="32">
        <f t="shared" si="23"/>
        <v>5370320.6799999997</v>
      </c>
      <c r="N43" s="32">
        <f t="shared" si="23"/>
        <v>1851822555.1800001</v>
      </c>
      <c r="O43" s="32">
        <f t="shared" si="23"/>
        <v>0</v>
      </c>
      <c r="P43" s="32">
        <f t="shared" si="23"/>
        <v>0</v>
      </c>
      <c r="Q43" s="32">
        <f t="shared" si="23"/>
        <v>0</v>
      </c>
      <c r="R43" s="32">
        <f t="shared" si="23"/>
        <v>0</v>
      </c>
      <c r="S43" s="32">
        <f t="shared" si="23"/>
        <v>0</v>
      </c>
      <c r="T43" s="32">
        <f t="shared" si="23"/>
        <v>63999798.069999993</v>
      </c>
      <c r="U43" s="32">
        <f t="shared" si="23"/>
        <v>1754143429.2499998</v>
      </c>
      <c r="V43" s="32">
        <f t="shared" si="23"/>
        <v>33679327.859999992</v>
      </c>
      <c r="W43" s="32">
        <f t="shared" si="23"/>
        <v>1851822555.1800001</v>
      </c>
      <c r="X43" s="32"/>
    </row>
    <row r="44" spans="1:24" ht="12.75" customHeight="1">
      <c r="A44" s="73" t="s">
        <v>18</v>
      </c>
      <c r="B44" s="59">
        <f>B25+B34+B43</f>
        <v>274870736.13999999</v>
      </c>
      <c r="C44" s="59">
        <f t="shared" ref="C44:W44" si="24">C25+C34+C43</f>
        <v>3812803248.1199999</v>
      </c>
      <c r="D44" s="59">
        <f t="shared" si="24"/>
        <v>259726279.18999997</v>
      </c>
      <c r="E44" s="59">
        <f t="shared" si="24"/>
        <v>4347400263.4499998</v>
      </c>
      <c r="F44" s="59">
        <f t="shared" si="24"/>
        <v>0</v>
      </c>
      <c r="G44" s="59">
        <f t="shared" si="24"/>
        <v>21989985.259999998</v>
      </c>
      <c r="H44" s="59">
        <f t="shared" si="24"/>
        <v>3173425.9800000004</v>
      </c>
      <c r="I44" s="59">
        <f t="shared" si="24"/>
        <v>25163411.239999998</v>
      </c>
      <c r="J44" s="59">
        <f t="shared" si="24"/>
        <v>0</v>
      </c>
      <c r="K44" s="59">
        <f t="shared" si="24"/>
        <v>280921.34999999998</v>
      </c>
      <c r="L44" s="59">
        <f t="shared" si="24"/>
        <v>12597341.469999999</v>
      </c>
      <c r="M44" s="59">
        <f t="shared" si="24"/>
        <v>12878262.82</v>
      </c>
      <c r="N44" s="59">
        <f t="shared" si="24"/>
        <v>4385441937.5100002</v>
      </c>
      <c r="O44" s="59">
        <f t="shared" si="24"/>
        <v>0</v>
      </c>
      <c r="P44" s="59">
        <f t="shared" si="24"/>
        <v>0</v>
      </c>
      <c r="Q44" s="59">
        <f t="shared" si="24"/>
        <v>0</v>
      </c>
      <c r="R44" s="59">
        <f t="shared" si="24"/>
        <v>0</v>
      </c>
      <c r="S44" s="59">
        <f t="shared" si="24"/>
        <v>0</v>
      </c>
      <c r="T44" s="59">
        <f t="shared" si="24"/>
        <v>274870736.13999999</v>
      </c>
      <c r="U44" s="59">
        <f t="shared" si="24"/>
        <v>3835074154.7299995</v>
      </c>
      <c r="V44" s="59">
        <f t="shared" si="24"/>
        <v>275497046.63999999</v>
      </c>
      <c r="W44" s="59">
        <f t="shared" si="24"/>
        <v>4385441937.5100002</v>
      </c>
      <c r="X44" s="75"/>
    </row>
    <row r="45" spans="1:24" ht="15.75" customHeight="1" thickBot="1">
      <c r="A45" s="74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76"/>
    </row>
    <row r="46" spans="1:24">
      <c r="V46" s="34"/>
      <c r="W46" s="34"/>
    </row>
    <row r="47" spans="1:24">
      <c r="V47" s="34"/>
      <c r="W47" s="34"/>
    </row>
    <row r="49" spans="1:24">
      <c r="G49" s="33">
        <f>C32+G32</f>
        <v>0</v>
      </c>
    </row>
    <row r="53" spans="1:24" s="1" customFormat="1" ht="18">
      <c r="A53" s="35" t="s">
        <v>48</v>
      </c>
      <c r="B53" s="2"/>
      <c r="C53" s="2"/>
      <c r="D53" s="2"/>
      <c r="F53" s="36" t="s">
        <v>49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s="1" customFormat="1" ht="18">
      <c r="A54" s="37"/>
      <c r="B54" s="2"/>
      <c r="C54" s="2"/>
      <c r="D54" s="2"/>
      <c r="F54" s="36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s="1" customFormat="1" ht="18">
      <c r="A55" s="38"/>
      <c r="B55" s="2"/>
      <c r="C55" s="2"/>
      <c r="D55" s="2"/>
      <c r="F55" s="36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s="1" customFormat="1" ht="18">
      <c r="A56" s="35" t="s">
        <v>50</v>
      </c>
      <c r="B56" s="2"/>
      <c r="C56" s="2"/>
      <c r="D56" s="2"/>
      <c r="F56" s="36" t="s">
        <v>51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s="1" customFormat="1" ht="18">
      <c r="A57" s="35" t="s">
        <v>52</v>
      </c>
      <c r="B57" s="2"/>
      <c r="C57" s="2"/>
      <c r="D57" s="2"/>
      <c r="F57" s="36" t="s">
        <v>53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s="3" customFormat="1" ht="15.7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</row>
    <row r="59" spans="1:24" s="3" customFormat="1" ht="15.7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</row>
  </sheetData>
  <mergeCells count="45">
    <mergeCell ref="V44:V45"/>
    <mergeCell ref="W44:W45"/>
    <mergeCell ref="X44:X45"/>
    <mergeCell ref="P44:P45"/>
    <mergeCell ref="Q44:Q45"/>
    <mergeCell ref="R44:R45"/>
    <mergeCell ref="S44:S45"/>
    <mergeCell ref="T44:T45"/>
    <mergeCell ref="U44:U45"/>
    <mergeCell ref="J44:J45"/>
    <mergeCell ref="K44:K45"/>
    <mergeCell ref="L44:L45"/>
    <mergeCell ref="M44:M45"/>
    <mergeCell ref="N44:N45"/>
    <mergeCell ref="A17:A18"/>
    <mergeCell ref="A26:A27"/>
    <mergeCell ref="A35:A36"/>
    <mergeCell ref="A44:A45"/>
    <mergeCell ref="B44:B45"/>
    <mergeCell ref="C44:C45"/>
    <mergeCell ref="S14:S15"/>
    <mergeCell ref="T14:W14"/>
    <mergeCell ref="X14:X15"/>
    <mergeCell ref="B16:E16"/>
    <mergeCell ref="F16:I16"/>
    <mergeCell ref="J16:M16"/>
    <mergeCell ref="O16:R16"/>
    <mergeCell ref="T16:W16"/>
    <mergeCell ref="O44:O45"/>
    <mergeCell ref="D44:D45"/>
    <mergeCell ref="E44:E45"/>
    <mergeCell ref="F44:F45"/>
    <mergeCell ref="G44:G45"/>
    <mergeCell ref="H44:H45"/>
    <mergeCell ref="I44:I45"/>
    <mergeCell ref="W1:X1"/>
    <mergeCell ref="A2:X2"/>
    <mergeCell ref="A3:X3"/>
    <mergeCell ref="A4:X4"/>
    <mergeCell ref="A14:A15"/>
    <mergeCell ref="B14:E14"/>
    <mergeCell ref="F14:I14"/>
    <mergeCell ref="J14:M14"/>
    <mergeCell ref="N14:N15"/>
    <mergeCell ref="O14:R14"/>
  </mergeCells>
  <pageMargins left="1.2" right="0.21" top="0.75" bottom="0.75" header="0.3" footer="0.3"/>
  <pageSetup paperSize="5" scale="50" orientation="landscape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Z61"/>
  <sheetViews>
    <sheetView tabSelected="1" topLeftCell="A13" workbookViewId="0">
      <pane xSplit="1" ySplit="6" topLeftCell="C19" activePane="bottomRight" state="frozen"/>
      <selection activeCell="A13" sqref="A13"/>
      <selection pane="topRight" activeCell="B13" sqref="B13"/>
      <selection pane="bottomLeft" activeCell="A17" sqref="A17"/>
      <selection pane="bottomRight" activeCell="A14" sqref="A14:X14"/>
    </sheetView>
  </sheetViews>
  <sheetFormatPr defaultRowHeight="12.75"/>
  <cols>
    <col min="1" max="1" width="24.85546875" style="9" customWidth="1"/>
    <col min="2" max="2" width="18.42578125" style="33" customWidth="1"/>
    <col min="3" max="3" width="16.28515625" style="33" customWidth="1"/>
    <col min="4" max="4" width="14.5703125" style="33" customWidth="1"/>
    <col min="5" max="5" width="16" style="33" customWidth="1"/>
    <col min="6" max="6" width="5.140625" style="33" customWidth="1"/>
    <col min="7" max="7" width="15.28515625" style="33" customWidth="1"/>
    <col min="8" max="8" width="14.42578125" style="33" customWidth="1"/>
    <col min="9" max="9" width="15.140625" style="33" customWidth="1"/>
    <col min="10" max="10" width="10.85546875" style="33" customWidth="1"/>
    <col min="11" max="11" width="16.5703125" style="33" customWidth="1"/>
    <col min="12" max="12" width="16" style="33" customWidth="1"/>
    <col min="13" max="13" width="17" style="33" customWidth="1"/>
    <col min="14" max="14" width="15.7109375" style="33" customWidth="1"/>
    <col min="15" max="18" width="6.28515625" style="33" customWidth="1"/>
    <col min="19" max="19" width="8" style="33" customWidth="1"/>
    <col min="20" max="20" width="14.28515625" style="33" customWidth="1"/>
    <col min="21" max="21" width="15.5703125" style="33" customWidth="1"/>
    <col min="22" max="22" width="15" style="33" customWidth="1"/>
    <col min="23" max="23" width="15.7109375" style="33" customWidth="1"/>
    <col min="24" max="24" width="9" style="33" customWidth="1"/>
    <col min="25" max="25" width="14" style="9" bestFit="1" customWidth="1"/>
    <col min="26" max="26" width="12.85546875" style="9" bestFit="1" customWidth="1"/>
    <col min="27" max="16384" width="9.140625" style="9"/>
  </cols>
  <sheetData>
    <row r="1" spans="1:24" s="1" customFormat="1" ht="18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46" t="s">
        <v>0</v>
      </c>
      <c r="X1" s="46"/>
    </row>
    <row r="2" spans="1:24" s="1" customFormat="1" ht="18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</row>
    <row r="3" spans="1:24" s="1" customFormat="1" ht="18">
      <c r="A3" s="47" t="s">
        <v>54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</row>
    <row r="4" spans="1:24" s="1" customFormat="1" ht="18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</row>
    <row r="5" spans="1:24" s="1" customFormat="1" ht="18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s="1" customFormat="1" ht="18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1" customFormat="1" ht="18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s="1" customFormat="1" ht="18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s="3" customFormat="1" ht="15.75">
      <c r="A9" s="3" t="s">
        <v>3</v>
      </c>
      <c r="B9" s="4" t="s">
        <v>4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</row>
    <row r="10" spans="1:24" s="3" customFormat="1" ht="15.75">
      <c r="A10" s="3" t="s">
        <v>5</v>
      </c>
      <c r="B10" s="4" t="s">
        <v>6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</row>
    <row r="11" spans="1:24" s="3" customFormat="1" ht="15.75">
      <c r="A11" s="3" t="s">
        <v>7</v>
      </c>
      <c r="B11" s="4" t="s">
        <v>8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24" s="3" customFormat="1" ht="15.75">
      <c r="A12" s="3" t="s">
        <v>9</v>
      </c>
      <c r="B12" s="6" t="s">
        <v>10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s="3" customFormat="1" ht="15.75">
      <c r="A13" s="83" t="s">
        <v>56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</row>
    <row r="14" spans="1:24" s="3" customFormat="1" ht="15.75">
      <c r="A14" s="83" t="s">
        <v>55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</row>
    <row r="15" spans="1:24" ht="13.5" thickBot="1">
      <c r="A15" s="7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4" ht="13.5" thickBot="1">
      <c r="A16" s="48" t="s">
        <v>11</v>
      </c>
      <c r="B16" s="50" t="s">
        <v>12</v>
      </c>
      <c r="C16" s="51"/>
      <c r="D16" s="51"/>
      <c r="E16" s="52"/>
      <c r="F16" s="53" t="s">
        <v>13</v>
      </c>
      <c r="G16" s="54"/>
      <c r="H16" s="54"/>
      <c r="I16" s="55"/>
      <c r="J16" s="56" t="s">
        <v>14</v>
      </c>
      <c r="K16" s="51"/>
      <c r="L16" s="51"/>
      <c r="M16" s="51"/>
      <c r="N16" s="57" t="s">
        <v>15</v>
      </c>
      <c r="O16" s="51" t="s">
        <v>16</v>
      </c>
      <c r="P16" s="51"/>
      <c r="Q16" s="51"/>
      <c r="R16" s="51"/>
      <c r="S16" s="61" t="s">
        <v>17</v>
      </c>
      <c r="T16" s="63" t="s">
        <v>18</v>
      </c>
      <c r="U16" s="51"/>
      <c r="V16" s="51"/>
      <c r="W16" s="51"/>
      <c r="X16" s="61" t="s">
        <v>19</v>
      </c>
    </row>
    <row r="17" spans="1:26" ht="13.5" thickBot="1">
      <c r="A17" s="49"/>
      <c r="B17" s="10" t="s">
        <v>20</v>
      </c>
      <c r="C17" s="11" t="s">
        <v>21</v>
      </c>
      <c r="D17" s="11" t="s">
        <v>22</v>
      </c>
      <c r="E17" s="41" t="s">
        <v>23</v>
      </c>
      <c r="F17" s="40" t="s">
        <v>20</v>
      </c>
      <c r="G17" s="39" t="s">
        <v>21</v>
      </c>
      <c r="H17" s="39" t="s">
        <v>22</v>
      </c>
      <c r="I17" s="41" t="s">
        <v>23</v>
      </c>
      <c r="J17" s="40" t="s">
        <v>20</v>
      </c>
      <c r="K17" s="11" t="s">
        <v>21</v>
      </c>
      <c r="L17" s="11" t="s">
        <v>22</v>
      </c>
      <c r="M17" s="11" t="s">
        <v>23</v>
      </c>
      <c r="N17" s="58"/>
      <c r="O17" s="11" t="s">
        <v>20</v>
      </c>
      <c r="P17" s="11" t="s">
        <v>21</v>
      </c>
      <c r="Q17" s="11" t="s">
        <v>22</v>
      </c>
      <c r="R17" s="11" t="s">
        <v>23</v>
      </c>
      <c r="S17" s="62"/>
      <c r="T17" s="10" t="s">
        <v>20</v>
      </c>
      <c r="U17" s="11" t="s">
        <v>21</v>
      </c>
      <c r="V17" s="11" t="s">
        <v>22</v>
      </c>
      <c r="W17" s="11" t="s">
        <v>23</v>
      </c>
      <c r="X17" s="62"/>
    </row>
    <row r="18" spans="1:26" s="17" customFormat="1" thickBot="1">
      <c r="A18" s="15" t="s">
        <v>24</v>
      </c>
      <c r="B18" s="64" t="s">
        <v>25</v>
      </c>
      <c r="C18" s="65"/>
      <c r="D18" s="65"/>
      <c r="E18" s="66"/>
      <c r="F18" s="67" t="s">
        <v>26</v>
      </c>
      <c r="G18" s="65"/>
      <c r="H18" s="65"/>
      <c r="I18" s="68"/>
      <c r="J18" s="64" t="s">
        <v>27</v>
      </c>
      <c r="K18" s="65"/>
      <c r="L18" s="65"/>
      <c r="M18" s="66"/>
      <c r="N18" s="16" t="s">
        <v>28</v>
      </c>
      <c r="O18" s="64" t="s">
        <v>29</v>
      </c>
      <c r="P18" s="65"/>
      <c r="Q18" s="65"/>
      <c r="R18" s="66"/>
      <c r="S18" s="16" t="s">
        <v>30</v>
      </c>
      <c r="T18" s="64" t="s">
        <v>31</v>
      </c>
      <c r="U18" s="65"/>
      <c r="V18" s="65"/>
      <c r="W18" s="66"/>
      <c r="X18" s="16" t="s">
        <v>32</v>
      </c>
    </row>
    <row r="19" spans="1:26" s="19" customFormat="1" ht="15" customHeight="1">
      <c r="A19" s="69" t="s">
        <v>33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</row>
    <row r="20" spans="1:26" s="19" customFormat="1" ht="11.25">
      <c r="A20" s="7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</row>
    <row r="21" spans="1:26" s="19" customFormat="1" ht="20.100000000000001" customHeight="1">
      <c r="A21" s="21" t="s">
        <v>34</v>
      </c>
      <c r="B21" s="20"/>
      <c r="C21" s="20"/>
      <c r="D21" s="20"/>
      <c r="E21" s="20">
        <f t="shared" ref="E21:E26" si="0">SUM(B21:D21)</f>
        <v>0</v>
      </c>
      <c r="F21" s="20"/>
      <c r="G21" s="20"/>
      <c r="H21" s="20"/>
      <c r="I21" s="20">
        <f t="shared" ref="I21:I26" si="1">SUM(F21:H21)</f>
        <v>0</v>
      </c>
      <c r="J21" s="20"/>
      <c r="K21" s="20"/>
      <c r="L21" s="20"/>
      <c r="M21" s="20">
        <f t="shared" ref="M21:M26" si="2">SUM(J21:L21)</f>
        <v>0</v>
      </c>
      <c r="N21" s="20">
        <f t="shared" ref="N21:N26" si="3">E21+I21+M21</f>
        <v>0</v>
      </c>
      <c r="O21" s="20"/>
      <c r="P21" s="20"/>
      <c r="Q21" s="20"/>
      <c r="R21" s="20">
        <f t="shared" ref="R21:R26" si="4">SUM(O21:Q21)</f>
        <v>0</v>
      </c>
      <c r="S21" s="20"/>
      <c r="T21" s="20">
        <f t="shared" ref="T21:V25" si="5">B21+F21+J21+O21</f>
        <v>0</v>
      </c>
      <c r="U21" s="20">
        <f t="shared" si="5"/>
        <v>0</v>
      </c>
      <c r="V21" s="20">
        <f t="shared" si="5"/>
        <v>0</v>
      </c>
      <c r="W21" s="20">
        <f t="shared" ref="W21:W26" si="6">SUM(T21:V21)</f>
        <v>0</v>
      </c>
      <c r="X21" s="20"/>
    </row>
    <row r="22" spans="1:26" s="19" customFormat="1" ht="20.100000000000001" customHeight="1">
      <c r="A22" s="21" t="s">
        <v>35</v>
      </c>
      <c r="B22" s="20">
        <f>25205151.34+20571294.48+50261920.65-349176</f>
        <v>95689190.469999999</v>
      </c>
      <c r="C22" s="20">
        <f>100066689.7+58899996.82+83939486.14+4320887.7-14581030.79-166978082.859732+4533251.10485721</f>
        <v>70201197.815125227</v>
      </c>
      <c r="D22" s="20"/>
      <c r="E22" s="20">
        <f t="shared" si="0"/>
        <v>165890388.28512523</v>
      </c>
      <c r="F22" s="20"/>
      <c r="G22" s="20">
        <v>14581030.790000001</v>
      </c>
      <c r="H22" s="20"/>
      <c r="I22" s="20">
        <f t="shared" si="1"/>
        <v>14581030.790000001</v>
      </c>
      <c r="J22" s="20">
        <f>780380.998-J23</f>
        <v>349175.99800000002</v>
      </c>
      <c r="K22" s="20">
        <f>416200184.509732-K23</f>
        <v>166978082.85973203</v>
      </c>
      <c r="L22" s="20"/>
      <c r="M22" s="20">
        <f t="shared" si="2"/>
        <v>167327258.85773203</v>
      </c>
      <c r="N22" s="20">
        <f t="shared" si="3"/>
        <v>347798677.93285728</v>
      </c>
      <c r="O22" s="20"/>
      <c r="P22" s="20"/>
      <c r="Q22" s="20"/>
      <c r="R22" s="20">
        <f t="shared" si="4"/>
        <v>0</v>
      </c>
      <c r="S22" s="20"/>
      <c r="T22" s="20">
        <f t="shared" si="5"/>
        <v>96038366.467999995</v>
      </c>
      <c r="U22" s="20">
        <f t="shared" si="5"/>
        <v>251760311.46485728</v>
      </c>
      <c r="V22" s="20">
        <f t="shared" si="5"/>
        <v>0</v>
      </c>
      <c r="W22" s="20">
        <f t="shared" si="6"/>
        <v>347798677.93285728</v>
      </c>
      <c r="X22" s="20"/>
      <c r="Y22" s="44">
        <f>+W22+W23-638268760.7</f>
        <v>0</v>
      </c>
    </row>
    <row r="23" spans="1:26" s="19" customFormat="1" ht="20.100000000000001" customHeight="1">
      <c r="A23" s="21" t="s">
        <v>36</v>
      </c>
      <c r="B23" s="20"/>
      <c r="C23" s="20"/>
      <c r="D23" s="20"/>
      <c r="E23" s="20">
        <f t="shared" si="0"/>
        <v>0</v>
      </c>
      <c r="F23" s="20"/>
      <c r="G23" s="20"/>
      <c r="H23" s="20"/>
      <c r="I23" s="20">
        <f t="shared" si="1"/>
        <v>0</v>
      </c>
      <c r="J23" s="20">
        <v>431205</v>
      </c>
      <c r="K23" s="20">
        <f>290038877.77-40816776.12</f>
        <v>249222101.64999998</v>
      </c>
      <c r="L23" s="20">
        <v>40816776.117142856</v>
      </c>
      <c r="M23" s="20">
        <f t="shared" si="2"/>
        <v>290470082.76714283</v>
      </c>
      <c r="N23" s="20">
        <f t="shared" si="3"/>
        <v>290470082.76714283</v>
      </c>
      <c r="O23" s="20"/>
      <c r="P23" s="20"/>
      <c r="Q23" s="20"/>
      <c r="R23" s="20">
        <f t="shared" si="4"/>
        <v>0</v>
      </c>
      <c r="S23" s="20"/>
      <c r="T23" s="20">
        <f t="shared" si="5"/>
        <v>431205</v>
      </c>
      <c r="U23" s="20">
        <f t="shared" si="5"/>
        <v>249222101.64999998</v>
      </c>
      <c r="V23" s="20">
        <f t="shared" si="5"/>
        <v>40816776.117142856</v>
      </c>
      <c r="W23" s="20">
        <f t="shared" si="6"/>
        <v>290470082.76714283</v>
      </c>
      <c r="X23" s="20"/>
      <c r="Y23" s="44"/>
      <c r="Z23" s="44"/>
    </row>
    <row r="24" spans="1:26" s="19" customFormat="1" ht="20.100000000000001" customHeight="1">
      <c r="A24" s="21" t="s">
        <v>37</v>
      </c>
      <c r="B24" s="20">
        <f>18879813.41-85525.84</f>
        <v>18794287.57</v>
      </c>
      <c r="C24" s="20">
        <f>563890.72+319509.8+4488107.99+16331219.2+1414053.32+5375556.05+3176119.53+1371267.44+33033.19+206725.23+3135118.92+7830.15-1655830.94-434077.04-24799101.7702678-8809901.94485715</f>
        <v>723519.84487506002</v>
      </c>
      <c r="D24" s="20"/>
      <c r="E24" s="20">
        <f t="shared" si="0"/>
        <v>19517807.41487506</v>
      </c>
      <c r="F24" s="20"/>
      <c r="G24" s="20">
        <v>434077.04</v>
      </c>
      <c r="H24" s="20"/>
      <c r="I24" s="20">
        <f t="shared" si="1"/>
        <v>434077.04</v>
      </c>
      <c r="J24" s="20">
        <v>85525.842000000004</v>
      </c>
      <c r="K24" s="20">
        <v>24799101.770267799</v>
      </c>
      <c r="L24" s="20">
        <v>2535703.4228571425</v>
      </c>
      <c r="M24" s="20">
        <f t="shared" si="2"/>
        <v>27420331.035124943</v>
      </c>
      <c r="N24" s="20">
        <f t="shared" si="3"/>
        <v>47372215.490000002</v>
      </c>
      <c r="O24" s="20"/>
      <c r="P24" s="20"/>
      <c r="Q24" s="20"/>
      <c r="R24" s="20">
        <f t="shared" si="4"/>
        <v>0</v>
      </c>
      <c r="S24" s="20"/>
      <c r="T24" s="20">
        <f t="shared" si="5"/>
        <v>18879813.412</v>
      </c>
      <c r="U24" s="20">
        <f t="shared" si="5"/>
        <v>25956698.655142859</v>
      </c>
      <c r="V24" s="20">
        <f t="shared" si="5"/>
        <v>2535703.4228571425</v>
      </c>
      <c r="W24" s="20">
        <f t="shared" si="6"/>
        <v>47372215.490000002</v>
      </c>
      <c r="X24" s="20"/>
      <c r="Y24" s="44"/>
    </row>
    <row r="25" spans="1:26" s="19" customFormat="1" ht="20.100000000000001" customHeight="1">
      <c r="A25" s="21" t="s">
        <v>38</v>
      </c>
      <c r="B25" s="20"/>
      <c r="C25" s="20"/>
      <c r="D25" s="20"/>
      <c r="E25" s="20">
        <f t="shared" si="0"/>
        <v>0</v>
      </c>
      <c r="F25" s="20"/>
      <c r="G25" s="20"/>
      <c r="H25" s="20"/>
      <c r="I25" s="20">
        <f t="shared" si="1"/>
        <v>0</v>
      </c>
      <c r="J25" s="20"/>
      <c r="K25" s="20"/>
      <c r="L25" s="20"/>
      <c r="M25" s="20">
        <f t="shared" si="2"/>
        <v>0</v>
      </c>
      <c r="N25" s="20">
        <f t="shared" si="3"/>
        <v>0</v>
      </c>
      <c r="O25" s="20"/>
      <c r="P25" s="20"/>
      <c r="Q25" s="20"/>
      <c r="R25" s="20">
        <f t="shared" si="4"/>
        <v>0</v>
      </c>
      <c r="S25" s="20"/>
      <c r="T25" s="20">
        <f t="shared" si="5"/>
        <v>0</v>
      </c>
      <c r="U25" s="20">
        <f t="shared" si="5"/>
        <v>0</v>
      </c>
      <c r="V25" s="20">
        <f t="shared" si="5"/>
        <v>0</v>
      </c>
      <c r="W25" s="20">
        <f t="shared" si="6"/>
        <v>0</v>
      </c>
      <c r="X25" s="20"/>
    </row>
    <row r="26" spans="1:26" s="19" customFormat="1" ht="20.100000000000001" customHeight="1">
      <c r="A26" s="21" t="s">
        <v>39</v>
      </c>
      <c r="B26" s="20"/>
      <c r="C26" s="20"/>
      <c r="D26" s="20"/>
      <c r="E26" s="20">
        <f t="shared" si="0"/>
        <v>0</v>
      </c>
      <c r="F26" s="20"/>
      <c r="G26" s="20"/>
      <c r="H26" s="20"/>
      <c r="I26" s="20">
        <f t="shared" si="1"/>
        <v>0</v>
      </c>
      <c r="J26" s="20"/>
      <c r="K26" s="20"/>
      <c r="L26" s="20"/>
      <c r="M26" s="20">
        <f t="shared" si="2"/>
        <v>0</v>
      </c>
      <c r="N26" s="20">
        <f t="shared" si="3"/>
        <v>0</v>
      </c>
      <c r="O26" s="20"/>
      <c r="P26" s="20"/>
      <c r="Q26" s="20"/>
      <c r="R26" s="20">
        <f t="shared" si="4"/>
        <v>0</v>
      </c>
      <c r="S26" s="20"/>
      <c r="T26" s="20">
        <f>B26+F26+J26+O26</f>
        <v>0</v>
      </c>
      <c r="U26" s="20"/>
      <c r="V26" s="20"/>
      <c r="W26" s="20">
        <f t="shared" si="6"/>
        <v>0</v>
      </c>
      <c r="X26" s="20"/>
    </row>
    <row r="27" spans="1:26" s="25" customFormat="1" ht="21" customHeight="1" thickBot="1">
      <c r="A27" s="22" t="s">
        <v>40</v>
      </c>
      <c r="B27" s="23">
        <f>SUM(B19:B26)</f>
        <v>114483478.03999999</v>
      </c>
      <c r="C27" s="23">
        <f t="shared" ref="C27:W27" si="7">SUM(C19:C26)</f>
        <v>70924717.660000294</v>
      </c>
      <c r="D27" s="23">
        <f t="shared" si="7"/>
        <v>0</v>
      </c>
      <c r="E27" s="23">
        <f t="shared" si="7"/>
        <v>185408195.70000029</v>
      </c>
      <c r="F27" s="23">
        <f t="shared" si="7"/>
        <v>0</v>
      </c>
      <c r="G27" s="23">
        <f t="shared" si="7"/>
        <v>15015107.83</v>
      </c>
      <c r="H27" s="23">
        <f t="shared" si="7"/>
        <v>0</v>
      </c>
      <c r="I27" s="23">
        <f t="shared" si="7"/>
        <v>15015107.83</v>
      </c>
      <c r="J27" s="23">
        <f t="shared" si="7"/>
        <v>865906.84000000008</v>
      </c>
      <c r="K27" s="23">
        <f t="shared" si="7"/>
        <v>440999286.27999979</v>
      </c>
      <c r="L27" s="23">
        <f t="shared" si="7"/>
        <v>43352479.539999999</v>
      </c>
      <c r="M27" s="23">
        <f t="shared" si="7"/>
        <v>485217672.65999979</v>
      </c>
      <c r="N27" s="23">
        <f t="shared" si="7"/>
        <v>685640976.19000006</v>
      </c>
      <c r="O27" s="23">
        <f t="shared" si="7"/>
        <v>0</v>
      </c>
      <c r="P27" s="23">
        <f t="shared" si="7"/>
        <v>0</v>
      </c>
      <c r="Q27" s="23">
        <f t="shared" si="7"/>
        <v>0</v>
      </c>
      <c r="R27" s="23">
        <f t="shared" si="7"/>
        <v>0</v>
      </c>
      <c r="S27" s="23">
        <f t="shared" si="7"/>
        <v>0</v>
      </c>
      <c r="T27" s="23">
        <f t="shared" si="7"/>
        <v>115349384.88</v>
      </c>
      <c r="U27" s="23">
        <f t="shared" si="7"/>
        <v>526939111.7700001</v>
      </c>
      <c r="V27" s="23">
        <f t="shared" si="7"/>
        <v>43352479.539999999</v>
      </c>
      <c r="W27" s="23">
        <f t="shared" si="7"/>
        <v>685640976.19000006</v>
      </c>
      <c r="X27" s="24"/>
    </row>
    <row r="28" spans="1:26" s="19" customFormat="1" ht="15" customHeight="1">
      <c r="A28" s="69" t="s">
        <v>41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1:26" s="19" customFormat="1" ht="11.25">
      <c r="A29" s="7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</row>
    <row r="30" spans="1:26" s="19" customFormat="1" ht="20.100000000000001" customHeight="1">
      <c r="A30" s="21" t="s">
        <v>42</v>
      </c>
      <c r="B30" s="20"/>
      <c r="C30" s="20"/>
      <c r="D30" s="20"/>
      <c r="E30" s="20">
        <f t="shared" ref="E30:E35" si="8">SUM(B30:D30)</f>
        <v>0</v>
      </c>
      <c r="F30" s="20"/>
      <c r="G30" s="20"/>
      <c r="H30" s="20"/>
      <c r="I30" s="20">
        <f t="shared" ref="I30:I35" si="9">SUM(F30:H30)</f>
        <v>0</v>
      </c>
      <c r="J30" s="20"/>
      <c r="K30" s="20"/>
      <c r="L30" s="20"/>
      <c r="M30" s="20">
        <f t="shared" ref="M30:M35" si="10">SUM(J30:L30)</f>
        <v>0</v>
      </c>
      <c r="N30" s="20">
        <f t="shared" ref="N30:N35" si="11">E30+I30+M30</f>
        <v>0</v>
      </c>
      <c r="O30" s="20"/>
      <c r="P30" s="20"/>
      <c r="Q30" s="20"/>
      <c r="R30" s="20">
        <f t="shared" ref="R30:R35" si="12">SUM(O30:Q30)</f>
        <v>0</v>
      </c>
      <c r="S30" s="20"/>
      <c r="T30" s="20">
        <f t="shared" ref="T30:V34" si="13">B30+F30+J30+O30</f>
        <v>0</v>
      </c>
      <c r="U30" s="20">
        <f t="shared" si="13"/>
        <v>0</v>
      </c>
      <c r="V30" s="20">
        <f t="shared" si="13"/>
        <v>0</v>
      </c>
      <c r="W30" s="20">
        <f t="shared" ref="W30:W35" si="14">SUM(T30:V30)</f>
        <v>0</v>
      </c>
      <c r="X30" s="20"/>
    </row>
    <row r="31" spans="1:26" s="19" customFormat="1" ht="20.100000000000001" customHeight="1">
      <c r="A31" s="21" t="s">
        <v>43</v>
      </c>
      <c r="B31" s="20">
        <f>19266830.5+29959545.06+25269411.21</f>
        <v>74495786.770000011</v>
      </c>
      <c r="C31" s="20">
        <f>153734398.37+450610416.96+276134514.55+3341417.48+11269610.34+49512831.8-18111718.9-193822904.118482+41091532.072768</f>
        <v>773760098.55428588</v>
      </c>
      <c r="D31" s="20"/>
      <c r="E31" s="20">
        <f t="shared" si="8"/>
        <v>848255885.32428586</v>
      </c>
      <c r="F31" s="20"/>
      <c r="G31" s="20">
        <v>18111718.899999999</v>
      </c>
      <c r="H31" s="20">
        <v>151892.32</v>
      </c>
      <c r="I31" s="20">
        <f t="shared" si="9"/>
        <v>18263611.219999999</v>
      </c>
      <c r="J31" s="20"/>
      <c r="K31" s="20">
        <f>594955265.278482-K32</f>
        <v>193822904.11848193</v>
      </c>
      <c r="L31" s="20"/>
      <c r="M31" s="20">
        <f t="shared" si="10"/>
        <v>193822904.11848193</v>
      </c>
      <c r="N31" s="20">
        <f t="shared" si="11"/>
        <v>1060342400.6627679</v>
      </c>
      <c r="O31" s="20"/>
      <c r="P31" s="20"/>
      <c r="Q31" s="20"/>
      <c r="R31" s="20">
        <f t="shared" si="12"/>
        <v>0</v>
      </c>
      <c r="S31" s="20"/>
      <c r="T31" s="20">
        <f t="shared" si="13"/>
        <v>74495786.770000011</v>
      </c>
      <c r="U31" s="20">
        <f t="shared" si="13"/>
        <v>985694721.57276773</v>
      </c>
      <c r="V31" s="20">
        <f t="shared" si="13"/>
        <v>151892.32</v>
      </c>
      <c r="W31" s="20">
        <f t="shared" si="14"/>
        <v>1060342400.6627678</v>
      </c>
      <c r="X31" s="20"/>
    </row>
    <row r="32" spans="1:26" s="19" customFormat="1" ht="20.100000000000001" customHeight="1">
      <c r="A32" s="21" t="s">
        <v>44</v>
      </c>
      <c r="B32" s="20"/>
      <c r="C32" s="20"/>
      <c r="D32" s="20"/>
      <c r="E32" s="20">
        <f t="shared" si="8"/>
        <v>0</v>
      </c>
      <c r="F32" s="20"/>
      <c r="G32" s="20"/>
      <c r="H32" s="20"/>
      <c r="I32" s="20">
        <f t="shared" si="9"/>
        <v>0</v>
      </c>
      <c r="J32" s="20"/>
      <c r="K32" s="20">
        <f>680870157.25-279737796.09</f>
        <v>401132361.16000003</v>
      </c>
      <c r="L32" s="20">
        <v>279737796.08723217</v>
      </c>
      <c r="M32" s="20">
        <f t="shared" si="10"/>
        <v>680870157.2472322</v>
      </c>
      <c r="N32" s="20">
        <f t="shared" si="11"/>
        <v>680870157.2472322</v>
      </c>
      <c r="O32" s="20"/>
      <c r="P32" s="20"/>
      <c r="Q32" s="20"/>
      <c r="R32" s="20">
        <f t="shared" si="12"/>
        <v>0</v>
      </c>
      <c r="S32" s="20"/>
      <c r="T32" s="20">
        <f t="shared" si="13"/>
        <v>0</v>
      </c>
      <c r="U32" s="20">
        <f t="shared" si="13"/>
        <v>401132361.16000003</v>
      </c>
      <c r="V32" s="20">
        <f t="shared" si="13"/>
        <v>279737796.08723217</v>
      </c>
      <c r="W32" s="20">
        <f t="shared" si="14"/>
        <v>680870157.2472322</v>
      </c>
      <c r="X32" s="20"/>
      <c r="Y32" s="44">
        <f>W31+W32-1741212557.91</f>
        <v>0</v>
      </c>
    </row>
    <row r="33" spans="1:25" s="19" customFormat="1" ht="20.100000000000001" customHeight="1">
      <c r="A33" s="21" t="s">
        <v>37</v>
      </c>
      <c r="B33" s="20">
        <v>26116301.440000001</v>
      </c>
      <c r="C33" s="20">
        <f>2952503.34+3020798.51+2885487.71+17141795.03+4609376.74+33262850.36+7727142.83+7140999.63+2529967.17-13503673.64-2919627.24-3173425.98-7227020.79-925736.21-32977631.6215178+2106093.13723211</f>
        <v>22649898.975714304</v>
      </c>
      <c r="D33" s="20"/>
      <c r="E33" s="20">
        <f t="shared" si="8"/>
        <v>48766200.415714309</v>
      </c>
      <c r="F33" s="20"/>
      <c r="G33" s="20">
        <v>925736.21000000008</v>
      </c>
      <c r="H33" s="20">
        <v>8597.68</v>
      </c>
      <c r="I33" s="20">
        <f t="shared" si="9"/>
        <v>934333.89000000013</v>
      </c>
      <c r="J33" s="20"/>
      <c r="K33" s="20">
        <f>97271.7541071429+32880359.8674107</f>
        <v>32977631.621517844</v>
      </c>
      <c r="L33" s="20">
        <v>15850267.272767857</v>
      </c>
      <c r="M33" s="20">
        <f t="shared" si="10"/>
        <v>48827898.894285701</v>
      </c>
      <c r="N33" s="20">
        <f t="shared" si="11"/>
        <v>98528433.200000018</v>
      </c>
      <c r="O33" s="20"/>
      <c r="P33" s="20"/>
      <c r="Q33" s="20"/>
      <c r="R33" s="20">
        <f t="shared" si="12"/>
        <v>0</v>
      </c>
      <c r="S33" s="20"/>
      <c r="T33" s="20">
        <f t="shared" si="13"/>
        <v>26116301.440000001</v>
      </c>
      <c r="U33" s="20">
        <f t="shared" si="13"/>
        <v>56553266.807232149</v>
      </c>
      <c r="V33" s="20">
        <f t="shared" si="13"/>
        <v>15858864.952767856</v>
      </c>
      <c r="W33" s="20">
        <f t="shared" si="14"/>
        <v>98528433.200000018</v>
      </c>
      <c r="X33" s="20"/>
      <c r="Y33" s="44">
        <f>98528433.2-W33</f>
        <v>0</v>
      </c>
    </row>
    <row r="34" spans="1:25" s="19" customFormat="1" ht="20.100000000000001" customHeight="1">
      <c r="A34" s="21" t="s">
        <v>38</v>
      </c>
      <c r="B34" s="20"/>
      <c r="C34" s="20"/>
      <c r="D34" s="20"/>
      <c r="E34" s="20">
        <f t="shared" si="8"/>
        <v>0</v>
      </c>
      <c r="F34" s="20"/>
      <c r="G34" s="20"/>
      <c r="H34" s="20"/>
      <c r="I34" s="20">
        <f t="shared" si="9"/>
        <v>0</v>
      </c>
      <c r="J34" s="20"/>
      <c r="K34" s="20"/>
      <c r="L34" s="20"/>
      <c r="M34" s="20">
        <f t="shared" si="10"/>
        <v>0</v>
      </c>
      <c r="N34" s="20">
        <f t="shared" si="11"/>
        <v>0</v>
      </c>
      <c r="O34" s="20"/>
      <c r="P34" s="20"/>
      <c r="Q34" s="20"/>
      <c r="R34" s="20">
        <f t="shared" si="12"/>
        <v>0</v>
      </c>
      <c r="S34" s="20"/>
      <c r="T34" s="20">
        <f t="shared" si="13"/>
        <v>0</v>
      </c>
      <c r="U34" s="20">
        <f t="shared" si="13"/>
        <v>0</v>
      </c>
      <c r="V34" s="20">
        <f t="shared" si="13"/>
        <v>0</v>
      </c>
      <c r="W34" s="20">
        <f t="shared" si="14"/>
        <v>0</v>
      </c>
      <c r="X34" s="20"/>
    </row>
    <row r="35" spans="1:25" s="19" customFormat="1" ht="20.100000000000001" customHeight="1">
      <c r="A35" s="21" t="s">
        <v>39</v>
      </c>
      <c r="B35" s="20"/>
      <c r="C35" s="20"/>
      <c r="D35" s="20"/>
      <c r="E35" s="20">
        <f t="shared" si="8"/>
        <v>0</v>
      </c>
      <c r="F35" s="20"/>
      <c r="G35" s="20"/>
      <c r="H35" s="20"/>
      <c r="I35" s="20">
        <f t="shared" si="9"/>
        <v>0</v>
      </c>
      <c r="J35" s="20"/>
      <c r="K35" s="20"/>
      <c r="L35" s="20"/>
      <c r="M35" s="20">
        <f t="shared" si="10"/>
        <v>0</v>
      </c>
      <c r="N35" s="20">
        <f t="shared" si="11"/>
        <v>0</v>
      </c>
      <c r="O35" s="20"/>
      <c r="P35" s="20"/>
      <c r="Q35" s="20"/>
      <c r="R35" s="20">
        <f t="shared" si="12"/>
        <v>0</v>
      </c>
      <c r="S35" s="20"/>
      <c r="T35" s="20">
        <f>B35+F35+J35+O35</f>
        <v>0</v>
      </c>
      <c r="U35" s="20"/>
      <c r="V35" s="20"/>
      <c r="W35" s="20">
        <f t="shared" si="14"/>
        <v>0</v>
      </c>
      <c r="X35" s="20"/>
    </row>
    <row r="36" spans="1:25" s="27" customFormat="1" ht="21" customHeight="1" thickBot="1">
      <c r="A36" s="22" t="s">
        <v>40</v>
      </c>
      <c r="B36" s="26">
        <f>SUM(B28:B35)</f>
        <v>100612088.21000001</v>
      </c>
      <c r="C36" s="26">
        <f t="shared" ref="C36:W36" si="15">SUM(C28:C35)</f>
        <v>796409997.53000021</v>
      </c>
      <c r="D36" s="26">
        <f t="shared" si="15"/>
        <v>0</v>
      </c>
      <c r="E36" s="26">
        <f t="shared" si="15"/>
        <v>897022085.74000013</v>
      </c>
      <c r="F36" s="26">
        <f t="shared" si="15"/>
        <v>0</v>
      </c>
      <c r="G36" s="26">
        <f t="shared" si="15"/>
        <v>19037455.109999999</v>
      </c>
      <c r="H36" s="26">
        <f t="shared" si="15"/>
        <v>160490</v>
      </c>
      <c r="I36" s="26">
        <f t="shared" si="15"/>
        <v>19197945.109999999</v>
      </c>
      <c r="J36" s="26">
        <f t="shared" si="15"/>
        <v>0</v>
      </c>
      <c r="K36" s="26">
        <f t="shared" si="15"/>
        <v>627932896.89999986</v>
      </c>
      <c r="L36" s="26">
        <f t="shared" si="15"/>
        <v>295588063.36000001</v>
      </c>
      <c r="M36" s="26">
        <f t="shared" si="15"/>
        <v>923520960.25999975</v>
      </c>
      <c r="N36" s="26">
        <f t="shared" si="15"/>
        <v>1839740991.1100001</v>
      </c>
      <c r="O36" s="26">
        <f t="shared" si="15"/>
        <v>0</v>
      </c>
      <c r="P36" s="26">
        <f t="shared" si="15"/>
        <v>0</v>
      </c>
      <c r="Q36" s="26">
        <f t="shared" si="15"/>
        <v>0</v>
      </c>
      <c r="R36" s="26">
        <f t="shared" si="15"/>
        <v>0</v>
      </c>
      <c r="S36" s="26">
        <f t="shared" si="15"/>
        <v>0</v>
      </c>
      <c r="T36" s="26">
        <f t="shared" si="15"/>
        <v>100612088.21000001</v>
      </c>
      <c r="U36" s="26">
        <f t="shared" si="15"/>
        <v>1443380349.54</v>
      </c>
      <c r="V36" s="26">
        <f t="shared" si="15"/>
        <v>295748553.36000001</v>
      </c>
      <c r="W36" s="26">
        <f t="shared" si="15"/>
        <v>1839740991.1099999</v>
      </c>
      <c r="X36" s="26"/>
    </row>
    <row r="37" spans="1:25" s="29" customFormat="1" ht="15" customHeight="1">
      <c r="A37" s="71" t="s">
        <v>45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</row>
    <row r="38" spans="1:25" s="29" customFormat="1">
      <c r="A38" s="72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</row>
    <row r="39" spans="1:25" s="29" customFormat="1" ht="20.100000000000001" customHeight="1">
      <c r="A39" s="21" t="s">
        <v>42</v>
      </c>
      <c r="B39" s="30"/>
      <c r="C39" s="30"/>
      <c r="D39" s="30"/>
      <c r="E39" s="30">
        <f t="shared" ref="E39:E44" si="16">SUM(B39:D39)</f>
        <v>0</v>
      </c>
      <c r="F39" s="30"/>
      <c r="G39" s="30"/>
      <c r="H39" s="30"/>
      <c r="I39" s="30">
        <f t="shared" ref="I39:I44" si="17">SUM(F39:H39)</f>
        <v>0</v>
      </c>
      <c r="J39" s="30"/>
      <c r="K39" s="30"/>
      <c r="L39" s="30"/>
      <c r="M39" s="30">
        <f t="shared" ref="M39:M44" si="18">SUM(J39:L39)</f>
        <v>0</v>
      </c>
      <c r="N39" s="30">
        <f t="shared" ref="N39:N44" si="19">E39+I39+M39</f>
        <v>0</v>
      </c>
      <c r="O39" s="30"/>
      <c r="P39" s="30"/>
      <c r="Q39" s="30"/>
      <c r="R39" s="30">
        <f t="shared" ref="R39:R44" si="20">SUM(O39:Q39)</f>
        <v>0</v>
      </c>
      <c r="S39" s="30"/>
      <c r="T39" s="30">
        <f t="shared" ref="T39:V43" si="21">B39+F39+J39+O39</f>
        <v>0</v>
      </c>
      <c r="U39" s="30">
        <f t="shared" si="21"/>
        <v>0</v>
      </c>
      <c r="V39" s="30">
        <f t="shared" si="21"/>
        <v>0</v>
      </c>
      <c r="W39" s="30">
        <f t="shared" ref="W39:W44" si="22">SUM(T39:V39)</f>
        <v>0</v>
      </c>
      <c r="X39" s="30"/>
    </row>
    <row r="40" spans="1:25" s="29" customFormat="1" ht="20.100000000000001" customHeight="1">
      <c r="A40" s="21" t="s">
        <v>43</v>
      </c>
      <c r="B40" s="20">
        <f>15829424.62+8104768.32+19724538.21</f>
        <v>43658731.149999999</v>
      </c>
      <c r="C40" s="20">
        <f>488147380.64+2960158.39+725307110.99+16510937.81+414889036.37+14371228.6-10120339.81-468634557.480982+511075306.044107</f>
        <v>1694506261.5531247</v>
      </c>
      <c r="D40" s="20">
        <v>10811078.560000001</v>
      </c>
      <c r="E40" s="20">
        <f t="shared" si="16"/>
        <v>1748976071.2631247</v>
      </c>
      <c r="F40" s="20"/>
      <c r="G40" s="20">
        <v>10120339.810000001</v>
      </c>
      <c r="H40" s="20">
        <v>751315.28</v>
      </c>
      <c r="I40" s="20">
        <f t="shared" si="17"/>
        <v>10871655.09</v>
      </c>
      <c r="J40" s="20"/>
      <c r="K40" s="20">
        <f>470514302.990982-K41</f>
        <v>468634557.48098201</v>
      </c>
      <c r="L40" s="20">
        <f>130632089.125893-L41</f>
        <v>130310218.745893</v>
      </c>
      <c r="M40" s="20">
        <f t="shared" si="18"/>
        <v>598944776.22687507</v>
      </c>
      <c r="N40" s="20">
        <f t="shared" si="19"/>
        <v>2358792502.5799999</v>
      </c>
      <c r="O40" s="20"/>
      <c r="P40" s="20"/>
      <c r="Q40" s="20"/>
      <c r="R40" s="20">
        <f t="shared" si="20"/>
        <v>0</v>
      </c>
      <c r="S40" s="20"/>
      <c r="T40" s="20">
        <f t="shared" si="21"/>
        <v>43658731.149999999</v>
      </c>
      <c r="U40" s="20">
        <f t="shared" si="21"/>
        <v>2173261158.8441067</v>
      </c>
      <c r="V40" s="20">
        <f t="shared" si="21"/>
        <v>141872612.58589301</v>
      </c>
      <c r="W40" s="20">
        <f t="shared" si="22"/>
        <v>2358792502.5799999</v>
      </c>
      <c r="X40" s="30"/>
    </row>
    <row r="41" spans="1:25" s="29" customFormat="1" ht="20.100000000000001" customHeight="1">
      <c r="A41" s="21" t="s">
        <v>44</v>
      </c>
      <c r="B41" s="20"/>
      <c r="C41" s="20"/>
      <c r="D41" s="20"/>
      <c r="E41" s="20">
        <f t="shared" si="16"/>
        <v>0</v>
      </c>
      <c r="F41" s="20"/>
      <c r="G41" s="20"/>
      <c r="H41" s="20"/>
      <c r="I41" s="20">
        <f t="shared" si="17"/>
        <v>0</v>
      </c>
      <c r="J41" s="20"/>
      <c r="K41" s="20">
        <v>1879745.51</v>
      </c>
      <c r="L41" s="20">
        <v>321870.38</v>
      </c>
      <c r="M41" s="20">
        <f t="shared" si="18"/>
        <v>2201615.89</v>
      </c>
      <c r="N41" s="20">
        <f t="shared" si="19"/>
        <v>2201615.89</v>
      </c>
      <c r="O41" s="20"/>
      <c r="P41" s="20"/>
      <c r="Q41" s="20"/>
      <c r="R41" s="20">
        <f t="shared" si="20"/>
        <v>0</v>
      </c>
      <c r="S41" s="20"/>
      <c r="T41" s="20">
        <f t="shared" si="21"/>
        <v>0</v>
      </c>
      <c r="U41" s="20">
        <f t="shared" si="21"/>
        <v>1879745.51</v>
      </c>
      <c r="V41" s="20">
        <f t="shared" si="21"/>
        <v>321870.38</v>
      </c>
      <c r="W41" s="20">
        <f t="shared" si="22"/>
        <v>2201615.89</v>
      </c>
      <c r="X41" s="30"/>
      <c r="Y41" s="44">
        <f>W40+W41-2360994118.47</f>
        <v>0</v>
      </c>
    </row>
    <row r="42" spans="1:25" s="29" customFormat="1" ht="20.100000000000001" customHeight="1">
      <c r="A42" s="21" t="s">
        <v>46</v>
      </c>
      <c r="B42" s="20">
        <v>27788325.539999999</v>
      </c>
      <c r="C42" s="20">
        <f>2640510.36+5553605.9+2878783.35+35686934.5+2937586.91+21517634.05-242359.09-62186.760892857-24717124.918125-16566423.6941071</f>
        <v>29626960.606875032</v>
      </c>
      <c r="D42" s="20">
        <v>653829.93999999994</v>
      </c>
      <c r="E42" s="20">
        <f t="shared" si="16"/>
        <v>58069116.086875029</v>
      </c>
      <c r="F42" s="20"/>
      <c r="G42" s="20">
        <v>242359.09</v>
      </c>
      <c r="H42" s="20">
        <v>130285.72</v>
      </c>
      <c r="I42" s="20">
        <f t="shared" si="17"/>
        <v>372644.81</v>
      </c>
      <c r="J42" s="20"/>
      <c r="K42" s="20">
        <f>62186.760892857+24717124.918125</f>
        <v>24779311.679017857</v>
      </c>
      <c r="L42" s="20">
        <v>7325427.4141071402</v>
      </c>
      <c r="M42" s="20">
        <f t="shared" si="18"/>
        <v>32104739.093124997</v>
      </c>
      <c r="N42" s="20">
        <f t="shared" si="19"/>
        <v>90546499.990000024</v>
      </c>
      <c r="O42" s="20"/>
      <c r="P42" s="20"/>
      <c r="Q42" s="20"/>
      <c r="R42" s="20">
        <f t="shared" si="20"/>
        <v>0</v>
      </c>
      <c r="S42" s="20"/>
      <c r="T42" s="20">
        <f t="shared" si="21"/>
        <v>27788325.539999999</v>
      </c>
      <c r="U42" s="20">
        <f t="shared" si="21"/>
        <v>54648631.375892892</v>
      </c>
      <c r="V42" s="20">
        <f t="shared" si="21"/>
        <v>8109543.0741071403</v>
      </c>
      <c r="W42" s="20">
        <f t="shared" si="22"/>
        <v>90546499.990000039</v>
      </c>
      <c r="X42" s="30"/>
      <c r="Y42" s="45">
        <f>+W42-90546499.99</f>
        <v>0</v>
      </c>
    </row>
    <row r="43" spans="1:25" s="29" customFormat="1" ht="20.100000000000001" customHeight="1">
      <c r="A43" s="21" t="s">
        <v>38</v>
      </c>
      <c r="B43" s="30"/>
      <c r="C43" s="30"/>
      <c r="D43" s="30"/>
      <c r="E43" s="30">
        <f t="shared" si="16"/>
        <v>0</v>
      </c>
      <c r="F43" s="30"/>
      <c r="G43" s="30"/>
      <c r="H43" s="30"/>
      <c r="I43" s="30">
        <f t="shared" si="17"/>
        <v>0</v>
      </c>
      <c r="J43" s="30"/>
      <c r="K43" s="30"/>
      <c r="L43" s="30"/>
      <c r="M43" s="30">
        <f t="shared" si="18"/>
        <v>0</v>
      </c>
      <c r="N43" s="30">
        <f t="shared" si="19"/>
        <v>0</v>
      </c>
      <c r="O43" s="30"/>
      <c r="P43" s="30"/>
      <c r="Q43" s="30"/>
      <c r="R43" s="30">
        <f t="shared" si="20"/>
        <v>0</v>
      </c>
      <c r="S43" s="30"/>
      <c r="T43" s="30">
        <f t="shared" si="21"/>
        <v>0</v>
      </c>
      <c r="U43" s="30">
        <f t="shared" si="21"/>
        <v>0</v>
      </c>
      <c r="V43" s="30">
        <f t="shared" si="21"/>
        <v>0</v>
      </c>
      <c r="W43" s="30">
        <f t="shared" si="22"/>
        <v>0</v>
      </c>
      <c r="X43" s="30"/>
    </row>
    <row r="44" spans="1:25" s="29" customFormat="1" ht="20.100000000000001" customHeight="1">
      <c r="A44" s="21" t="s">
        <v>47</v>
      </c>
      <c r="B44" s="30"/>
      <c r="C44" s="30"/>
      <c r="D44" s="30"/>
      <c r="E44" s="30">
        <f t="shared" si="16"/>
        <v>0</v>
      </c>
      <c r="F44" s="30"/>
      <c r="G44" s="30"/>
      <c r="H44" s="30"/>
      <c r="I44" s="30">
        <f t="shared" si="17"/>
        <v>0</v>
      </c>
      <c r="J44" s="30"/>
      <c r="K44" s="30"/>
      <c r="L44" s="30"/>
      <c r="M44" s="30">
        <f t="shared" si="18"/>
        <v>0</v>
      </c>
      <c r="N44" s="30">
        <f t="shared" si="19"/>
        <v>0</v>
      </c>
      <c r="O44" s="30"/>
      <c r="P44" s="30"/>
      <c r="Q44" s="30"/>
      <c r="R44" s="30">
        <f t="shared" si="20"/>
        <v>0</v>
      </c>
      <c r="S44" s="30"/>
      <c r="T44" s="30">
        <f>B44+F44+J44+O44</f>
        <v>0</v>
      </c>
      <c r="U44" s="30"/>
      <c r="V44" s="30"/>
      <c r="W44" s="30">
        <f t="shared" si="22"/>
        <v>0</v>
      </c>
      <c r="X44" s="30"/>
    </row>
    <row r="45" spans="1:25" s="43" customFormat="1" ht="21" customHeight="1" thickBot="1">
      <c r="A45" s="22" t="s">
        <v>40</v>
      </c>
      <c r="B45" s="42">
        <f>SUM(B37:B44)</f>
        <v>71447056.689999998</v>
      </c>
      <c r="C45" s="42">
        <f t="shared" ref="C45:W45" si="23">SUM(C37:C44)</f>
        <v>1724133222.1599996</v>
      </c>
      <c r="D45" s="42">
        <f t="shared" si="23"/>
        <v>11464908.5</v>
      </c>
      <c r="E45" s="42">
        <f t="shared" si="23"/>
        <v>1807045187.3499997</v>
      </c>
      <c r="F45" s="42">
        <f t="shared" si="23"/>
        <v>0</v>
      </c>
      <c r="G45" s="42">
        <f t="shared" si="23"/>
        <v>10362698.9</v>
      </c>
      <c r="H45" s="42">
        <f t="shared" si="23"/>
        <v>881601</v>
      </c>
      <c r="I45" s="42">
        <f t="shared" si="23"/>
        <v>11244299.9</v>
      </c>
      <c r="J45" s="42">
        <f t="shared" si="23"/>
        <v>0</v>
      </c>
      <c r="K45" s="42">
        <f t="shared" si="23"/>
        <v>495293614.66999984</v>
      </c>
      <c r="L45" s="42">
        <f t="shared" si="23"/>
        <v>137957516.54000014</v>
      </c>
      <c r="M45" s="42">
        <f t="shared" si="23"/>
        <v>633251131.21000004</v>
      </c>
      <c r="N45" s="42">
        <f t="shared" si="23"/>
        <v>2451540618.46</v>
      </c>
      <c r="O45" s="42">
        <f t="shared" si="23"/>
        <v>0</v>
      </c>
      <c r="P45" s="42">
        <f t="shared" si="23"/>
        <v>0</v>
      </c>
      <c r="Q45" s="42">
        <f t="shared" si="23"/>
        <v>0</v>
      </c>
      <c r="R45" s="42">
        <f t="shared" si="23"/>
        <v>0</v>
      </c>
      <c r="S45" s="42">
        <f t="shared" si="23"/>
        <v>0</v>
      </c>
      <c r="T45" s="42">
        <f t="shared" si="23"/>
        <v>71447056.689999998</v>
      </c>
      <c r="U45" s="42">
        <f t="shared" si="23"/>
        <v>2229789535.73</v>
      </c>
      <c r="V45" s="42">
        <f t="shared" si="23"/>
        <v>150304026.04000014</v>
      </c>
      <c r="W45" s="42">
        <f t="shared" si="23"/>
        <v>2451540618.46</v>
      </c>
      <c r="X45" s="42"/>
    </row>
    <row r="46" spans="1:25" s="17" customFormat="1" ht="12.75" customHeight="1">
      <c r="A46" s="79" t="s">
        <v>18</v>
      </c>
      <c r="B46" s="77">
        <f>B27+B36+B45</f>
        <v>286542622.94</v>
      </c>
      <c r="C46" s="77">
        <f t="shared" ref="C46:W46" si="24">C27+C36+C45</f>
        <v>2591467937.3500004</v>
      </c>
      <c r="D46" s="77">
        <f t="shared" si="24"/>
        <v>11464908.5</v>
      </c>
      <c r="E46" s="77">
        <f t="shared" si="24"/>
        <v>2889475468.79</v>
      </c>
      <c r="F46" s="77">
        <f t="shared" si="24"/>
        <v>0</v>
      </c>
      <c r="G46" s="77">
        <f t="shared" si="24"/>
        <v>44415261.839999996</v>
      </c>
      <c r="H46" s="77">
        <f t="shared" si="24"/>
        <v>1042091</v>
      </c>
      <c r="I46" s="77">
        <f t="shared" si="24"/>
        <v>45457352.839999996</v>
      </c>
      <c r="J46" s="77">
        <f t="shared" si="24"/>
        <v>865906.84000000008</v>
      </c>
      <c r="K46" s="77">
        <f t="shared" si="24"/>
        <v>1564225797.8499994</v>
      </c>
      <c r="L46" s="77">
        <f t="shared" si="24"/>
        <v>476898059.44000018</v>
      </c>
      <c r="M46" s="77">
        <f t="shared" si="24"/>
        <v>2041989764.1299996</v>
      </c>
      <c r="N46" s="77">
        <f t="shared" si="24"/>
        <v>4976922585.7600002</v>
      </c>
      <c r="O46" s="77">
        <f t="shared" si="24"/>
        <v>0</v>
      </c>
      <c r="P46" s="77">
        <f t="shared" si="24"/>
        <v>0</v>
      </c>
      <c r="Q46" s="77">
        <f t="shared" si="24"/>
        <v>0</v>
      </c>
      <c r="R46" s="77">
        <f t="shared" si="24"/>
        <v>0</v>
      </c>
      <c r="S46" s="77">
        <f t="shared" si="24"/>
        <v>0</v>
      </c>
      <c r="T46" s="77">
        <f t="shared" si="24"/>
        <v>287408529.77999997</v>
      </c>
      <c r="U46" s="77">
        <f t="shared" si="24"/>
        <v>4200108997.04</v>
      </c>
      <c r="V46" s="77">
        <f t="shared" si="24"/>
        <v>489405058.94000018</v>
      </c>
      <c r="W46" s="77">
        <f t="shared" si="24"/>
        <v>4976922585.7600002</v>
      </c>
      <c r="X46" s="81"/>
    </row>
    <row r="47" spans="1:25" s="17" customFormat="1" ht="15.75" customHeight="1" thickBot="1">
      <c r="A47" s="80"/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82"/>
    </row>
    <row r="48" spans="1:25">
      <c r="V48" s="34"/>
      <c r="W48" s="34"/>
    </row>
    <row r="49" spans="1:24">
      <c r="V49" s="34"/>
      <c r="W49" s="34"/>
    </row>
    <row r="51" spans="1:24">
      <c r="G51" s="33">
        <f>C34+G34</f>
        <v>0</v>
      </c>
    </row>
    <row r="55" spans="1:24" s="1" customFormat="1" ht="18">
      <c r="A55" s="35" t="s">
        <v>48</v>
      </c>
      <c r="B55" s="2"/>
      <c r="C55" s="2"/>
      <c r="D55" s="2"/>
      <c r="F55" s="36" t="s">
        <v>49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s="1" customFormat="1" ht="18">
      <c r="A56" s="37"/>
      <c r="B56" s="2"/>
      <c r="C56" s="2"/>
      <c r="D56" s="2"/>
      <c r="F56" s="36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s="1" customFormat="1" ht="18">
      <c r="A57" s="38"/>
      <c r="B57" s="2"/>
      <c r="C57" s="2"/>
      <c r="D57" s="2"/>
      <c r="F57" s="36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s="1" customFormat="1" ht="18">
      <c r="A58" s="35" t="s">
        <v>50</v>
      </c>
      <c r="B58" s="2"/>
      <c r="C58" s="2"/>
      <c r="D58" s="2"/>
      <c r="F58" s="36" t="s">
        <v>51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s="1" customFormat="1" ht="18">
      <c r="A59" s="35" t="s">
        <v>52</v>
      </c>
      <c r="B59" s="2"/>
      <c r="C59" s="2"/>
      <c r="D59" s="2"/>
      <c r="F59" s="36" t="s">
        <v>53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s="3" customFormat="1" ht="15.7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</row>
    <row r="61" spans="1:24" s="3" customFormat="1" ht="15.7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</row>
  </sheetData>
  <mergeCells count="47">
    <mergeCell ref="V46:V47"/>
    <mergeCell ref="W46:W47"/>
    <mergeCell ref="X46:X47"/>
    <mergeCell ref="P46:P47"/>
    <mergeCell ref="Q46:Q47"/>
    <mergeCell ref="R46:R47"/>
    <mergeCell ref="S46:S47"/>
    <mergeCell ref="T46:T47"/>
    <mergeCell ref="U46:U47"/>
    <mergeCell ref="J46:J47"/>
    <mergeCell ref="K46:K47"/>
    <mergeCell ref="L46:L47"/>
    <mergeCell ref="M46:M47"/>
    <mergeCell ref="N46:N47"/>
    <mergeCell ref="A19:A20"/>
    <mergeCell ref="A28:A29"/>
    <mergeCell ref="A37:A38"/>
    <mergeCell ref="A46:A47"/>
    <mergeCell ref="B46:B47"/>
    <mergeCell ref="C46:C47"/>
    <mergeCell ref="S16:S17"/>
    <mergeCell ref="T16:W16"/>
    <mergeCell ref="X16:X17"/>
    <mergeCell ref="B18:E18"/>
    <mergeCell ref="F18:I18"/>
    <mergeCell ref="J18:M18"/>
    <mergeCell ref="O18:R18"/>
    <mergeCell ref="T18:W18"/>
    <mergeCell ref="O46:O47"/>
    <mergeCell ref="D46:D47"/>
    <mergeCell ref="E46:E47"/>
    <mergeCell ref="F46:F47"/>
    <mergeCell ref="G46:G47"/>
    <mergeCell ref="H46:H47"/>
    <mergeCell ref="I46:I47"/>
    <mergeCell ref="W1:X1"/>
    <mergeCell ref="A2:X2"/>
    <mergeCell ref="A3:X3"/>
    <mergeCell ref="A4:X4"/>
    <mergeCell ref="A16:A17"/>
    <mergeCell ref="B16:E16"/>
    <mergeCell ref="F16:I16"/>
    <mergeCell ref="J16:M16"/>
    <mergeCell ref="N16:N17"/>
    <mergeCell ref="O16:R16"/>
    <mergeCell ref="A13:X13"/>
    <mergeCell ref="A14:X14"/>
  </mergeCells>
  <pageMargins left="1.2" right="0.21" top="0.75" bottom="0.75" header="0.3" footer="0.3"/>
  <pageSetup paperSize="5" scale="50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revised conso</vt:lpstr>
      <vt:lpstr>revised conso (2)</vt:lpstr>
      <vt:lpstr>'revised conso (2)'!Print_Area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 User</dc:creator>
  <cp:lastModifiedBy>Dell User</cp:lastModifiedBy>
  <cp:lastPrinted>2013-12-02T09:10:04Z</cp:lastPrinted>
  <dcterms:created xsi:type="dcterms:W3CDTF">2013-11-27T06:23:03Z</dcterms:created>
  <dcterms:modified xsi:type="dcterms:W3CDTF">2014-01-15T07:50:06Z</dcterms:modified>
</cp:coreProperties>
</file>